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95" yWindow="165" windowWidth="15480" windowHeight="11400" activeTab="0"/>
  </bookViews>
  <sheets>
    <sheet name="Мастер-Серия 2015-2016" sheetId="1" r:id="rId1"/>
    <sheet name="Профи-Опен" sheetId="2" r:id="rId2"/>
    <sheet name="ФФП" sheetId="3" r:id="rId3"/>
    <sheet name="Форвард" sheetId="4" state="hidden" r:id="rId4"/>
    <sheet name="Торпедо" sheetId="5" r:id="rId5"/>
    <sheet name="Предвидение" sheetId="6" r:id="rId6"/>
    <sheet name="Очки" sheetId="7" r:id="rId7"/>
    <sheet name="Лист2" sheetId="8" r:id="rId8"/>
  </sheets>
  <definedNames>
    <definedName name="_xlnm._FilterDatabase" localSheetId="0" hidden="1">'Мастер-Серия 2015-2016'!$A$3:$AS$56</definedName>
    <definedName name="_xlnm._FilterDatabase" localSheetId="2" hidden="1">'ФФП'!$B$6:$W$52</definedName>
  </definedNames>
  <calcPr fullCalcOnLoad="1"/>
</workbook>
</file>

<file path=xl/sharedStrings.xml><?xml version="1.0" encoding="utf-8"?>
<sst xmlns="http://schemas.openxmlformats.org/spreadsheetml/2006/main" count="3320" uniqueCount="932">
  <si>
    <t>№</t>
  </si>
  <si>
    <t>команды</t>
  </si>
  <si>
    <t>И</t>
  </si>
  <si>
    <t>В</t>
  </si>
  <si>
    <t>Н</t>
  </si>
  <si>
    <t>П</t>
  </si>
  <si>
    <t>Шо</t>
  </si>
  <si>
    <t>ЗМ</t>
  </si>
  <si>
    <t>Р/М</t>
  </si>
  <si>
    <t>О</t>
  </si>
  <si>
    <t>A</t>
  </si>
  <si>
    <t>Red_Anfield</t>
  </si>
  <si>
    <t>8:2</t>
  </si>
  <si>
    <t>АФК-Кузбасс</t>
  </si>
  <si>
    <t>+:-</t>
  </si>
  <si>
    <t>VOON.RU</t>
  </si>
  <si>
    <t>4:3</t>
  </si>
  <si>
    <t>КСП_Торпедо</t>
  </si>
  <si>
    <t>КСП_Химик</t>
  </si>
  <si>
    <t>3:4</t>
  </si>
  <si>
    <t>Fprognoz.com</t>
  </si>
  <si>
    <t>КФП_Mont_Blanc</t>
  </si>
  <si>
    <t>-:+</t>
  </si>
  <si>
    <t>B</t>
  </si>
  <si>
    <t>GreenMile</t>
  </si>
  <si>
    <t>КФП_Арсенал</t>
  </si>
  <si>
    <t>5:3</t>
  </si>
  <si>
    <t>3:3</t>
  </si>
  <si>
    <t>liga1.ru</t>
  </si>
  <si>
    <t>KFP.RU</t>
  </si>
  <si>
    <t>Сборная_Мегаспорта</t>
  </si>
  <si>
    <t>C</t>
  </si>
  <si>
    <t>БАФ_Метеорит</t>
  </si>
  <si>
    <t>EXE</t>
  </si>
  <si>
    <t>Onedivision</t>
  </si>
  <si>
    <t>6:3</t>
  </si>
  <si>
    <t>7-40</t>
  </si>
  <si>
    <t>2:2</t>
  </si>
  <si>
    <t>КЛФП_Харьков</t>
  </si>
  <si>
    <t>АСП_Погоня</t>
  </si>
  <si>
    <t>2:6</t>
  </si>
  <si>
    <t>МКСП_Альянс</t>
  </si>
  <si>
    <t>D</t>
  </si>
  <si>
    <t>ФСП_Sportwin</t>
  </si>
  <si>
    <t>7:3</t>
  </si>
  <si>
    <t>sportgiant.net</t>
  </si>
  <si>
    <t>ФК_Форвард</t>
  </si>
  <si>
    <t>5:2</t>
  </si>
  <si>
    <t>Kuban.ru</t>
  </si>
  <si>
    <t>Shmel_United</t>
  </si>
  <si>
    <t>Профессионалы_прогноза</t>
  </si>
  <si>
    <t>2:5</t>
  </si>
  <si>
    <t>PrimeGang</t>
  </si>
  <si>
    <t>Время проведения</t>
  </si>
  <si>
    <t xml:space="preserve">с </t>
  </si>
  <si>
    <t>по</t>
  </si>
  <si>
    <t>Параметры турнира:</t>
  </si>
  <si>
    <t>Группы - Плей-офф</t>
  </si>
  <si>
    <t>Общее количество туров:</t>
  </si>
  <si>
    <t>8:4</t>
  </si>
  <si>
    <t>5:0</t>
  </si>
  <si>
    <t>5:5</t>
  </si>
  <si>
    <t>0:5</t>
  </si>
  <si>
    <t>2:7</t>
  </si>
  <si>
    <t>6:6</t>
  </si>
  <si>
    <t>4:4</t>
  </si>
  <si>
    <t>5:4</t>
  </si>
  <si>
    <t>6:4</t>
  </si>
  <si>
    <t>5:6</t>
  </si>
  <si>
    <t>3:8</t>
  </si>
  <si>
    <t>М</t>
  </si>
  <si>
    <t>Команда</t>
  </si>
  <si>
    <t>ФФП</t>
  </si>
  <si>
    <t>Всего</t>
  </si>
  <si>
    <t>Очки за место</t>
  </si>
  <si>
    <t>Бонус</t>
  </si>
  <si>
    <t>Место</t>
  </si>
  <si>
    <t>Очки</t>
  </si>
  <si>
    <t>1.3.  Начисление очков в Турнире Четырех: "KFP-VOON-TORPEDO-PROFI Series"</t>
  </si>
  <si>
    <t>Статистику и официальный подсчет рейтинга Серии ведет Александр Митрофанов (MAI).</t>
  </si>
  <si>
    <t>По итогам каждого входящего в Серию турнира командам начисляются очки, которые складываются из двух составляющих:</t>
  </si>
  <si>
    <r>
      <t xml:space="preserve">1.3.1. </t>
    </r>
    <r>
      <rPr>
        <b/>
        <sz val="12"/>
        <color indexed="8"/>
        <rFont val="Verdana"/>
        <family val="2"/>
      </rPr>
      <t xml:space="preserve">Очки за занятое место.  </t>
    </r>
    <r>
      <rPr>
        <sz val="12"/>
        <color indexed="8"/>
        <rFont val="Verdana"/>
        <family val="2"/>
      </rPr>
      <t>Оцениваются первые 30 мест. Команды, занявшие места ниже тридцатого, очков не получают. Если в отдельно взятом турнире играют меньше 30 команд, то это не сказывается на участниках. Очки команды получают согласно занятому месту и прилагаемой таблице.</t>
    </r>
  </si>
  <si>
    <t>Если после предварительного этапа, команды, не прошедшие в финал, не разыгрывают места с n-ного и командам ставится что они заняли n-m место, для определения набранных очков складываются очки за места, начиная с n и заканчивая m и делятся на количество складываемых мест.</t>
  </si>
  <si>
    <r>
      <t>Например</t>
    </r>
    <r>
      <rPr>
        <sz val="12"/>
        <color indexed="8"/>
        <rFont val="Verdana"/>
        <family val="2"/>
      </rPr>
      <t>: команда заняла 21-24 место. Набранные очки = (10+9+8+7)/4=8,5.</t>
    </r>
  </si>
  <si>
    <r>
      <t>1.3.2.</t>
    </r>
    <r>
      <rPr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Verdana"/>
        <family val="2"/>
      </rPr>
      <t>Бонус за сыгранные матчи и набранные очки</t>
    </r>
    <r>
      <rPr>
        <sz val="12"/>
        <color indexed="8"/>
        <rFont val="Verdana"/>
        <family val="2"/>
      </rPr>
      <t xml:space="preserve"> по системе 3-1-0.</t>
    </r>
  </si>
  <si>
    <r>
      <t xml:space="preserve">Бонус рассчитывается по формуле:  </t>
    </r>
    <r>
      <rPr>
        <b/>
        <sz val="12"/>
        <color indexed="8"/>
        <rFont val="Verdana"/>
        <family val="2"/>
      </rPr>
      <t>Бонус = ((20-ВТ+И)*О/МО)/2,</t>
    </r>
  </si>
  <si>
    <t xml:space="preserve">где: </t>
  </si>
  <si>
    <t xml:space="preserve">ВТ – Всего туров в турнире, И – Количество игр сыгранное командой, О – Набранные командой очки, </t>
  </si>
  <si>
    <t xml:space="preserve">МО – Максимально возможное количество очков которое могла набрать команда. ( И*3). </t>
  </si>
  <si>
    <t>Бонус округляется до десятых.</t>
  </si>
  <si>
    <t>20 – это условное число (максимальное количество туров для расчета).  Если кто-то из организаторов решит удлинить и провести больше 20 туров, то в формулу будет внесено изменение, чтобы максимально возможный бонус был равен 10.</t>
  </si>
  <si>
    <t xml:space="preserve">Примеры действия формулы: </t>
  </si>
  <si>
    <t>1) В турнире 18 туров, команда чемпион выиграла все. В результате получается. Бонус = ((20-18+18)*54/54)/2 = 10. (максимально возможный бонус)</t>
  </si>
  <si>
    <t>2) В турнире 15 туров. Команда сыграла 10 и не попала в финал набрав 12 очков.</t>
  </si>
  <si>
    <t>Она получает: Бонус = ((20-15+10)*12/30)/2 = 3.</t>
  </si>
  <si>
    <t xml:space="preserve">Очки за место и Бонус складываются и получаются очки команды за турнир.  </t>
  </si>
  <si>
    <t xml:space="preserve">1.4. По итогам сезона 2013/14 в зачет берутся лучшие 3 (три) выступления в турнирах Серии. </t>
  </si>
  <si>
    <t>Сыграно  игр</t>
  </si>
  <si>
    <t>2:9</t>
  </si>
  <si>
    <t>7:4</t>
  </si>
  <si>
    <t>6:7</t>
  </si>
  <si>
    <t>8:6</t>
  </si>
  <si>
    <t>9:4</t>
  </si>
  <si>
    <t>6:8</t>
  </si>
  <si>
    <t>8:5</t>
  </si>
  <si>
    <t>4:2</t>
  </si>
  <si>
    <t>2:4</t>
  </si>
  <si>
    <t>7:1</t>
  </si>
  <si>
    <t>Группа A</t>
  </si>
  <si>
    <t>ЗМ-ПМ</t>
  </si>
  <si>
    <t>ИСХ</t>
  </si>
  <si>
    <t>Н/Я</t>
  </si>
  <si>
    <t>Группа В</t>
  </si>
  <si>
    <t>Группа С</t>
  </si>
  <si>
    <t>Группа D</t>
  </si>
  <si>
    <t xml:space="preserve">Группы </t>
  </si>
  <si>
    <t>Чемпионат Прогнозов</t>
  </si>
  <si>
    <t>Russian Roulette</t>
  </si>
  <si>
    <t>Kanonir.Com</t>
  </si>
  <si>
    <t>БЛФП</t>
  </si>
  <si>
    <t>SEclub.org</t>
  </si>
  <si>
    <t>ВФЛ КБК</t>
  </si>
  <si>
    <t>КЛФП-Минск</t>
  </si>
  <si>
    <t>FunkySouls.Com</t>
  </si>
  <si>
    <t>SFP</t>
  </si>
  <si>
    <t>FC Noroc</t>
  </si>
  <si>
    <t>СФП Football.by</t>
  </si>
  <si>
    <t>SportGiant.net</t>
  </si>
  <si>
    <t>29-35</t>
  </si>
  <si>
    <t>36-42</t>
  </si>
  <si>
    <t>Или в том же турнире команда на групповом этапе набрала 20 вышла в финал, но выступила там не удачно проиграв в финале все. В этом случае она проведет все 15 матчей и её бонус составит. Бонус = ((20-15+15)*20/45)/2=4,4</t>
  </si>
  <si>
    <t>4:1</t>
  </si>
  <si>
    <t>29-32</t>
  </si>
  <si>
    <t>1:4</t>
  </si>
  <si>
    <t>3:2</t>
  </si>
  <si>
    <t>2:3</t>
  </si>
  <si>
    <t>11:2</t>
  </si>
  <si>
    <t>6:0</t>
  </si>
  <si>
    <t>0:6</t>
  </si>
  <si>
    <t>25-28</t>
  </si>
  <si>
    <t>2 : 2</t>
  </si>
  <si>
    <t>1 : 3</t>
  </si>
  <si>
    <t>3 : 1</t>
  </si>
  <si>
    <t>3 : 0</t>
  </si>
  <si>
    <t>0 : 3</t>
  </si>
  <si>
    <t>3 : 2</t>
  </si>
  <si>
    <t>2 : 3</t>
  </si>
  <si>
    <t>2 : 4</t>
  </si>
  <si>
    <t>4 : 2</t>
  </si>
  <si>
    <t>5 : 0</t>
  </si>
  <si>
    <t>0 : 5</t>
  </si>
  <si>
    <t>3 : 3</t>
  </si>
  <si>
    <t>4 : 1</t>
  </si>
  <si>
    <t>1 : 4</t>
  </si>
  <si>
    <t>5 : 2</t>
  </si>
  <si>
    <t>2 : 5</t>
  </si>
  <si>
    <t>1 : 5</t>
  </si>
  <si>
    <t>5 : 1</t>
  </si>
  <si>
    <t>4 : 0</t>
  </si>
  <si>
    <t>0 : 4</t>
  </si>
  <si>
    <t>+ : -</t>
  </si>
  <si>
    <t>- : +</t>
  </si>
  <si>
    <t>2 : 1</t>
  </si>
  <si>
    <t>1 : 2</t>
  </si>
  <si>
    <t>1 : 1</t>
  </si>
  <si>
    <t>6 : 1</t>
  </si>
  <si>
    <t>1 : 6</t>
  </si>
  <si>
    <t>7 : 0</t>
  </si>
  <si>
    <t>0 : 7</t>
  </si>
  <si>
    <t>5 : 3</t>
  </si>
  <si>
    <t>3 : 5</t>
  </si>
  <si>
    <t>4 : 3</t>
  </si>
  <si>
    <t>3 : 4</t>
  </si>
  <si>
    <t>1:10</t>
  </si>
  <si>
    <t>17-20</t>
  </si>
  <si>
    <t>21-24</t>
  </si>
  <si>
    <t>33-36</t>
  </si>
  <si>
    <t>1:3</t>
  </si>
  <si>
    <t>6:1</t>
  </si>
  <si>
    <t>3:1</t>
  </si>
  <si>
    <t>1:6</t>
  </si>
  <si>
    <t>день</t>
  </si>
  <si>
    <t>стадия</t>
  </si>
  <si>
    <t>формула</t>
  </si>
  <si>
    <t>хозяева</t>
  </si>
  <si>
    <t>гости</t>
  </si>
  <si>
    <t>счет</t>
  </si>
  <si>
    <t>1/8 финала</t>
  </si>
  <si>
    <t xml:space="preserve">за 17-32 места </t>
  </si>
  <si>
    <t xml:space="preserve">за 33-36 места </t>
  </si>
  <si>
    <t>1/4 финала</t>
  </si>
  <si>
    <t xml:space="preserve">за 9-16 места </t>
  </si>
  <si>
    <t xml:space="preserve">за 17-24 места </t>
  </si>
  <si>
    <t xml:space="preserve">за 25-32 места </t>
  </si>
  <si>
    <t>за 33-е место</t>
  </si>
  <si>
    <t xml:space="preserve">за 35-е место </t>
  </si>
  <si>
    <t>1/2 финала</t>
  </si>
  <si>
    <t>за 5-8 места</t>
  </si>
  <si>
    <t xml:space="preserve">за 9-12 места </t>
  </si>
  <si>
    <t xml:space="preserve">за 13-16 места </t>
  </si>
  <si>
    <t xml:space="preserve">за 17-20 места </t>
  </si>
  <si>
    <t xml:space="preserve">за 21-24 места </t>
  </si>
  <si>
    <t xml:space="preserve">за 25-28 места </t>
  </si>
  <si>
    <t xml:space="preserve">за 29-32 места </t>
  </si>
  <si>
    <t>ФИНАЛ</t>
  </si>
  <si>
    <t>за 3-е место</t>
  </si>
  <si>
    <t>за 5-е место</t>
  </si>
  <si>
    <t>за 7-е место</t>
  </si>
  <si>
    <t>за 9-е место</t>
  </si>
  <si>
    <t>за 11-е место</t>
  </si>
  <si>
    <t>за 13-е место</t>
  </si>
  <si>
    <t>за 15-е место</t>
  </si>
  <si>
    <t>за 17-е место</t>
  </si>
  <si>
    <t>за 19-е место</t>
  </si>
  <si>
    <t>за 21-е место</t>
  </si>
  <si>
    <t>за 23-е место</t>
  </si>
  <si>
    <t>за 25-е место</t>
  </si>
  <si>
    <t>за 27-е место</t>
  </si>
  <si>
    <t>за 29-е место</t>
  </si>
  <si>
    <t>за 31-е место</t>
  </si>
  <si>
    <t>Итоги турнира</t>
  </si>
  <si>
    <t>M</t>
  </si>
  <si>
    <t>ПМ</t>
  </si>
  <si>
    <t>Игры в Плей-ОФФ</t>
  </si>
  <si>
    <t>9-12</t>
  </si>
  <si>
    <t>13-16</t>
  </si>
  <si>
    <t>7:7</t>
  </si>
  <si>
    <t>0 : 2</t>
  </si>
  <si>
    <t>2 : 0</t>
  </si>
  <si>
    <t>Финал</t>
  </si>
  <si>
    <t>ИТОГО PROFI</t>
  </si>
  <si>
    <t>ИТОГО ФФП</t>
  </si>
  <si>
    <t>КСП "Торпедо" им. Эдуарда Стрельцова</t>
  </si>
  <si>
    <t>Лига КСП "Торпедо"</t>
  </si>
  <si>
    <t>ИТОГО Торпедо</t>
  </si>
  <si>
    <t>Красно-Белый Израиль (КБИ)</t>
  </si>
  <si>
    <t>NeXT</t>
  </si>
  <si>
    <t>КСП "Феникс"</t>
  </si>
  <si>
    <t>PRED.SU</t>
  </si>
  <si>
    <t>Группа 1</t>
  </si>
  <si>
    <t>Группа 2</t>
  </si>
  <si>
    <t>Группа 3</t>
  </si>
  <si>
    <t>Группа 4</t>
  </si>
  <si>
    <t>Группа 5</t>
  </si>
  <si>
    <t>Группа 6</t>
  </si>
  <si>
    <t>Группа 7</t>
  </si>
  <si>
    <t>25-32</t>
  </si>
  <si>
    <t>33-40</t>
  </si>
  <si>
    <t>41-48</t>
  </si>
  <si>
    <t>7 : 1</t>
  </si>
  <si>
    <t>1 : 7</t>
  </si>
  <si>
    <t>Мячи</t>
  </si>
  <si>
    <t>Ис</t>
  </si>
  <si>
    <t>М С</t>
  </si>
  <si>
    <t>21-30</t>
  </si>
  <si>
    <t>11-15</t>
  </si>
  <si>
    <t>16-20</t>
  </si>
  <si>
    <t>31-40</t>
  </si>
  <si>
    <t>штраф</t>
  </si>
  <si>
    <t>-1</t>
  </si>
  <si>
    <t>-5</t>
  </si>
  <si>
    <t>9</t>
  </si>
  <si>
    <t>-6</t>
  </si>
  <si>
    <t>-2</t>
  </si>
  <si>
    <t>не учитывается как худший результат из 4 турниров</t>
  </si>
  <si>
    <t>5-6</t>
  </si>
  <si>
    <t>5-5</t>
  </si>
  <si>
    <t>-12</t>
  </si>
  <si>
    <t>2:1</t>
  </si>
  <si>
    <t>1:2</t>
  </si>
  <si>
    <t>5:1</t>
  </si>
  <si>
    <t>1:5</t>
  </si>
  <si>
    <t>0:3</t>
  </si>
  <si>
    <t>3:0</t>
  </si>
  <si>
    <t>19-24</t>
  </si>
  <si>
    <t> 0 </t>
  </si>
  <si>
    <t> +7 </t>
  </si>
  <si>
    <t> 1 </t>
  </si>
  <si>
    <t> -3 </t>
  </si>
  <si>
    <t> +2 </t>
  </si>
  <si>
    <t> +3 </t>
  </si>
  <si>
    <t> +8 </t>
  </si>
  <si>
    <t> +5 </t>
  </si>
  <si>
    <t> 14 - 24 </t>
  </si>
  <si>
    <t> -10 </t>
  </si>
  <si>
    <t> -6 </t>
  </si>
  <si>
    <t> -7 </t>
  </si>
  <si>
    <t> -1 </t>
  </si>
  <si>
    <t> +1 </t>
  </si>
  <si>
    <t> +4 </t>
  </si>
  <si>
    <t> -9 </t>
  </si>
  <si>
    <t> +10 </t>
  </si>
  <si>
    <t> -2 </t>
  </si>
  <si>
    <t> +12 </t>
  </si>
  <si>
    <t> +13 </t>
  </si>
  <si>
    <t> -4 </t>
  </si>
  <si>
    <t> -21 </t>
  </si>
  <si>
    <t>25-30</t>
  </si>
  <si>
    <t>31-36</t>
  </si>
  <si>
    <t>37-42</t>
  </si>
  <si>
    <t>43-44</t>
  </si>
  <si>
    <t>RED ARMY</t>
  </si>
  <si>
    <t>КЛФП "Харьков"</t>
  </si>
  <si>
    <t>КФП "Арсенал"</t>
  </si>
  <si>
    <t>Red Anfield</t>
  </si>
  <si>
    <t>Жемчужина Кузбасса</t>
  </si>
  <si>
    <t>Профессионалы прогноза</t>
  </si>
  <si>
    <t>АСП "Погоня"</t>
  </si>
  <si>
    <t>TotalZone.ru</t>
  </si>
  <si>
    <t>LFOP.GURU</t>
  </si>
  <si>
    <t>КСП Химик</t>
  </si>
  <si>
    <t>ФК Форвард</t>
  </si>
  <si>
    <t>КФП Mont Blanc</t>
  </si>
  <si>
    <t>БАФ "Метеорит"</t>
  </si>
  <si>
    <t>Shmel United</t>
  </si>
  <si>
    <t>ОЛФП Одесса</t>
  </si>
  <si>
    <t>МКСП "Альянс"</t>
  </si>
  <si>
    <t>ФСП Sportwin</t>
  </si>
  <si>
    <t>4 Межсайтовый турнир PROFI OPEN 2013</t>
  </si>
  <si>
    <t>5:9</t>
  </si>
  <si>
    <t>FPROGNOZ.COM</t>
  </si>
  <si>
    <t>6:9</t>
  </si>
  <si>
    <t>Кедр</t>
  </si>
  <si>
    <t>KUBAN.RU</t>
  </si>
  <si>
    <t>Kanonir.com</t>
  </si>
  <si>
    <t>Спартанцы IT </t>
  </si>
  <si>
    <t>Сборная Мегаспорта </t>
  </si>
  <si>
    <t>АСП "ПОГОНЯ"</t>
  </si>
  <si>
    <t>СФП Football.By</t>
  </si>
  <si>
    <t>FC NOROC</t>
  </si>
  <si>
    <t>A1-D4</t>
  </si>
  <si>
    <t>B2-C3</t>
  </si>
  <si>
    <t>Спартанцы_IT</t>
  </si>
  <si>
    <t>АСП_ПОГОНЯ</t>
  </si>
  <si>
    <t>C2-B3</t>
  </si>
  <si>
    <t>D1-A4</t>
  </si>
  <si>
    <t>0:1</t>
  </si>
  <si>
    <t>C1-B4</t>
  </si>
  <si>
    <t>D2-A3</t>
  </si>
  <si>
    <t>Чемпионат_Прогнозов</t>
  </si>
  <si>
    <t>A2-D3</t>
  </si>
  <si>
    <t>Красно-Белый_Израиль</t>
  </si>
  <si>
    <t>B1-C4</t>
  </si>
  <si>
    <t>A5-D8</t>
  </si>
  <si>
    <t>B6-C7</t>
  </si>
  <si>
    <t>C6-B7</t>
  </si>
  <si>
    <t>D5-A8</t>
  </si>
  <si>
    <t>C5-B8</t>
  </si>
  <si>
    <t>КСП_Феникс</t>
  </si>
  <si>
    <t>СФП_Football.By</t>
  </si>
  <si>
    <t>D6-A7</t>
  </si>
  <si>
    <t>Жемчужина_Кузбасса</t>
  </si>
  <si>
    <t>A6-D7</t>
  </si>
  <si>
    <t>FC_NOROC</t>
  </si>
  <si>
    <t>B5-C8</t>
  </si>
  <si>
    <t>A9-D9</t>
  </si>
  <si>
    <t>B9-C9</t>
  </si>
  <si>
    <t>13-18</t>
  </si>
  <si>
    <t>W1-W2</t>
  </si>
  <si>
    <t>W3-W4</t>
  </si>
  <si>
    <t>W5-W6</t>
  </si>
  <si>
    <t>W7-W8</t>
  </si>
  <si>
    <t>L1-L2</t>
  </si>
  <si>
    <t>L3-L4</t>
  </si>
  <si>
    <t>L5-L6</t>
  </si>
  <si>
    <t>L7-L8</t>
  </si>
  <si>
    <t>W9-W10</t>
  </si>
  <si>
    <t>W11-W12</t>
  </si>
  <si>
    <t>W13-W14</t>
  </si>
  <si>
    <t>W15-W16</t>
  </si>
  <si>
    <t>L9-L10</t>
  </si>
  <si>
    <t>L11-L12</t>
  </si>
  <si>
    <t>L13-L14</t>
  </si>
  <si>
    <t>L15-L16</t>
  </si>
  <si>
    <t>W17-W18</t>
  </si>
  <si>
    <t>L17-L18</t>
  </si>
  <si>
    <t>-:-</t>
  </si>
  <si>
    <t>W19-W20</t>
  </si>
  <si>
    <t>W21-W22</t>
  </si>
  <si>
    <t>L19-L20</t>
  </si>
  <si>
    <t>L21-L22</t>
  </si>
  <si>
    <t>W23-W24</t>
  </si>
  <si>
    <t>W25-W26</t>
  </si>
  <si>
    <t>L23-L24</t>
  </si>
  <si>
    <t>L25-L26</t>
  </si>
  <si>
    <t>W27-W28</t>
  </si>
  <si>
    <t>W29-W30</t>
  </si>
  <si>
    <t>L27-L28</t>
  </si>
  <si>
    <t>L29-L30</t>
  </si>
  <si>
    <t>W31-W32</t>
  </si>
  <si>
    <t>W33-W34</t>
  </si>
  <si>
    <t>L31-L32</t>
  </si>
  <si>
    <t>L33-L34</t>
  </si>
  <si>
    <t>W37-W38</t>
  </si>
  <si>
    <t>L37-L38</t>
  </si>
  <si>
    <t>W39-W40</t>
  </si>
  <si>
    <t>L39-L40</t>
  </si>
  <si>
    <t>W41-W42</t>
  </si>
  <si>
    <t>L41-L42</t>
  </si>
  <si>
    <t>W43-W44</t>
  </si>
  <si>
    <t>L43-L44</t>
  </si>
  <si>
    <t>W45-W46</t>
  </si>
  <si>
    <t>L45-L46</t>
  </si>
  <si>
    <t>W47-W48</t>
  </si>
  <si>
    <t>L47-L48</t>
  </si>
  <si>
    <t>W49-W50</t>
  </si>
  <si>
    <t>L49-L50</t>
  </si>
  <si>
    <t>W51-W52</t>
  </si>
  <si>
    <t>L51-L52</t>
  </si>
  <si>
    <t>2:10</t>
  </si>
  <si>
    <t>Отбор</t>
  </si>
  <si>
    <t>Mobisports</t>
  </si>
  <si>
    <t>Эксперт Лига №1</t>
  </si>
  <si>
    <t>18</t>
  </si>
  <si>
    <t>ИТОГО Эксперт лига</t>
  </si>
  <si>
    <t>5</t>
  </si>
  <si>
    <t>1</t>
  </si>
  <si>
    <t>2</t>
  </si>
  <si>
    <t>3</t>
  </si>
  <si>
    <t>6</t>
  </si>
  <si>
    <t>22-28</t>
  </si>
  <si>
    <t>17-21</t>
  </si>
  <si>
    <t>33-21</t>
  </si>
  <si>
    <t>12</t>
  </si>
  <si>
    <t>28-26</t>
  </si>
  <si>
    <t>27-29</t>
  </si>
  <si>
    <t>26-38</t>
  </si>
  <si>
    <t>29-27</t>
  </si>
  <si>
    <t>26-34</t>
  </si>
  <si>
    <t>30-28</t>
  </si>
  <si>
    <t>32-28</t>
  </si>
  <si>
    <t>-8</t>
  </si>
  <si>
    <t>4</t>
  </si>
  <si>
    <t>42-26</t>
  </si>
  <si>
    <t>30-35</t>
  </si>
  <si>
    <t>30-36</t>
  </si>
  <si>
    <t>16</t>
  </si>
  <si>
    <t>32-26</t>
  </si>
  <si>
    <t>27-28</t>
  </si>
  <si>
    <t>28-28</t>
  </si>
  <si>
    <t>Чемпионат прогнозов</t>
  </si>
  <si>
    <t>34-20</t>
  </si>
  <si>
    <t>14</t>
  </si>
  <si>
    <t>26-25</t>
  </si>
  <si>
    <t>25-31</t>
  </si>
  <si>
    <t>23-31</t>
  </si>
  <si>
    <t>33-29</t>
  </si>
  <si>
    <t>31-28</t>
  </si>
  <si>
    <t>30-29</t>
  </si>
  <si>
    <t>31-21</t>
  </si>
  <si>
    <t>27-27</t>
  </si>
  <si>
    <t>17-32</t>
  </si>
  <si>
    <t>29-24</t>
  </si>
  <si>
    <t>10</t>
  </si>
  <si>
    <t>-15</t>
  </si>
  <si>
    <t>5:3 6:5</t>
  </si>
  <si>
    <t>3:5 5:6</t>
  </si>
  <si>
    <t>13:0 5:2</t>
  </si>
  <si>
    <t>0:13 2:5</t>
  </si>
  <si>
    <t>5:3 5:2</t>
  </si>
  <si>
    <t>3:5 2:5</t>
  </si>
  <si>
    <t>5:5 5:8</t>
  </si>
  <si>
    <t>5:5 8:5</t>
  </si>
  <si>
    <t>11:2 7:3</t>
  </si>
  <si>
    <t>2:11 3:7</t>
  </si>
  <si>
    <t>8:5 2:4</t>
  </si>
  <si>
    <t>5:8 4:2</t>
  </si>
  <si>
    <t>6:3 5:3</t>
  </si>
  <si>
    <t>3:6 3:5</t>
  </si>
  <si>
    <t>12:1 0:6</t>
  </si>
  <si>
    <t>1:12 6:0</t>
  </si>
  <si>
    <t>3:6 4:6</t>
  </si>
  <si>
    <t>6:3 6:4</t>
  </si>
  <si>
    <t>6:6 4:8</t>
  </si>
  <si>
    <t>6:6 8:4</t>
  </si>
  <si>
    <t>6:4 4:2</t>
  </si>
  <si>
    <t>4:6 2:4</t>
  </si>
  <si>
    <t>1:8 1:5</t>
  </si>
  <si>
    <t>8:1 5:1</t>
  </si>
  <si>
    <t>3:6 5:4</t>
  </si>
  <si>
    <t>6:3 4:5</t>
  </si>
  <si>
    <t>8:1 6:3</t>
  </si>
  <si>
    <t>1:8 3:6</t>
  </si>
  <si>
    <t>7:5 3:6</t>
  </si>
  <si>
    <t>5:7 6:3</t>
  </si>
  <si>
    <t>2:9 2:6</t>
  </si>
  <si>
    <t>9:2 6:2</t>
  </si>
  <si>
    <t>3:9 8:3</t>
  </si>
  <si>
    <t>9:3 3:8</t>
  </si>
  <si>
    <t>3:7 7:4</t>
  </si>
  <si>
    <t>7:3 4:7</t>
  </si>
  <si>
    <t>6:3 2:6</t>
  </si>
  <si>
    <t>3:6 6:2</t>
  </si>
  <si>
    <t>7:7 5:5</t>
  </si>
  <si>
    <t>6:2 2:5</t>
  </si>
  <si>
    <t>2:6 5:2</t>
  </si>
  <si>
    <t>5:3 1:7</t>
  </si>
  <si>
    <t>3:5 7:1</t>
  </si>
  <si>
    <t>11:1 3:7</t>
  </si>
  <si>
    <t>1:11 7:3</t>
  </si>
  <si>
    <t>7:4 9:2</t>
  </si>
  <si>
    <t>4:7 2:9</t>
  </si>
  <si>
    <t>4:4 5:7</t>
  </si>
  <si>
    <t>4:4 7:5</t>
  </si>
  <si>
    <t>3:9 3:4</t>
  </si>
  <si>
    <t>9:3 4:3</t>
  </si>
  <si>
    <t>4:3 2:7</t>
  </si>
  <si>
    <t>3:4 7:2</t>
  </si>
  <si>
    <t>8:1 5:4</t>
  </si>
  <si>
    <t>1:8 4:5</t>
  </si>
  <si>
    <t>7:5 5:3</t>
  </si>
  <si>
    <t>5:7 3:5</t>
  </si>
  <si>
    <t>6:3 1:4</t>
  </si>
  <si>
    <t>3:6 4:1</t>
  </si>
  <si>
    <t>4:7 6:3</t>
  </si>
  <si>
    <t>7:4 3:6</t>
  </si>
  <si>
    <t>5:5 4:6</t>
  </si>
  <si>
    <t>5:5 6:4</t>
  </si>
  <si>
    <t>9:1 7:1</t>
  </si>
  <si>
    <t>1:9 1:7</t>
  </si>
  <si>
    <t>5:6 5:6</t>
  </si>
  <si>
    <t>6:5 6:5</t>
  </si>
  <si>
    <t>6:5 4 :1</t>
  </si>
  <si>
    <t>5:6 1:4</t>
  </si>
  <si>
    <t>7:3 7:3</t>
  </si>
  <si>
    <t>3:7 3:7</t>
  </si>
  <si>
    <t>6:2 8:1</t>
  </si>
  <si>
    <t>2:6 1:8</t>
  </si>
  <si>
    <t>5:7 7:1</t>
  </si>
  <si>
    <t>6:3 5:5</t>
  </si>
  <si>
    <t>3:6 5:5</t>
  </si>
  <si>
    <t>7:4 6:5</t>
  </si>
  <si>
    <t>4:7 5:6</t>
  </si>
  <si>
    <t>5:5 5:5</t>
  </si>
  <si>
    <t>4:7 2:5</t>
  </si>
  <si>
    <t>7:4 5:2</t>
  </si>
  <si>
    <t>0 : 6</t>
  </si>
  <si>
    <t>6 : 0</t>
  </si>
  <si>
    <t>26-26</t>
  </si>
  <si>
    <t>1 :2</t>
  </si>
  <si>
    <t>-</t>
  </si>
  <si>
    <t>29-36</t>
  </si>
  <si>
    <t>Второй этап</t>
  </si>
  <si>
    <t>Группа 8</t>
  </si>
  <si>
    <t>Группа 9</t>
  </si>
  <si>
    <t>Группа 10</t>
  </si>
  <si>
    <t>Группа 11</t>
  </si>
  <si>
    <t>5-8</t>
  </si>
  <si>
    <t>42-15</t>
  </si>
  <si>
    <t>34-31</t>
  </si>
  <si>
    <t>20-38</t>
  </si>
  <si>
    <t>27-39</t>
  </si>
  <si>
    <t>27</t>
  </si>
  <si>
    <t>-18</t>
  </si>
  <si>
    <t>40-24</t>
  </si>
  <si>
    <t>27-26</t>
  </si>
  <si>
    <t>29-29</t>
  </si>
  <si>
    <t>24-41</t>
  </si>
  <si>
    <t>-17</t>
  </si>
  <si>
    <t>35-25</t>
  </si>
  <si>
    <t>29-31</t>
  </si>
  <si>
    <t>21-45</t>
  </si>
  <si>
    <t>-24</t>
  </si>
  <si>
    <t>52-15</t>
  </si>
  <si>
    <t>34-25</t>
  </si>
  <si>
    <t>22-36</t>
  </si>
  <si>
    <t>20-52</t>
  </si>
  <si>
    <t>37</t>
  </si>
  <si>
    <t>-14</t>
  </si>
  <si>
    <t>-32</t>
  </si>
  <si>
    <t>3:7 6:5</t>
  </si>
  <si>
    <t>7:3 5:6</t>
  </si>
  <si>
    <t>8:3 19:0</t>
  </si>
  <si>
    <t>3:8 0:19</t>
  </si>
  <si>
    <t>4:4 5:4</t>
  </si>
  <si>
    <t>4:3 1:13</t>
  </si>
  <si>
    <t>3:4 13:1</t>
  </si>
  <si>
    <t>5:7 6:6</t>
  </si>
  <si>
    <t>7:5 6:6</t>
  </si>
  <si>
    <t>2:7 2:5</t>
  </si>
  <si>
    <t>7:2 5:2</t>
  </si>
  <si>
    <t>2:9 6:3</t>
  </si>
  <si>
    <t>9:2 3:6</t>
  </si>
  <si>
    <t>3:7 4:4</t>
  </si>
  <si>
    <t>7:3 4:4</t>
  </si>
  <si>
    <t>7:4 13:1</t>
  </si>
  <si>
    <t>4:7 1:13</t>
  </si>
  <si>
    <t>7:2 4:5</t>
  </si>
  <si>
    <t>2:7 5:4</t>
  </si>
  <si>
    <t>6:4 4:6</t>
  </si>
  <si>
    <t>4:6 6:4</t>
  </si>
  <si>
    <t>4:6 4:5</t>
  </si>
  <si>
    <t>4:4 4:5</t>
  </si>
  <si>
    <t>6:4 5:4</t>
  </si>
  <si>
    <t>6:8 4:6</t>
  </si>
  <si>
    <t>8:6 6:4</t>
  </si>
  <si>
    <t>4:5 5:5</t>
  </si>
  <si>
    <t>5:4 5:5</t>
  </si>
  <si>
    <t>2:7 2:7</t>
  </si>
  <si>
    <t>7:2 7:2</t>
  </si>
  <si>
    <t>4:6 4:7</t>
  </si>
  <si>
    <t>6:4 7:4</t>
  </si>
  <si>
    <t>8:4 4:6</t>
  </si>
  <si>
    <t>4:8 6:4</t>
  </si>
  <si>
    <t>10:2 4:3</t>
  </si>
  <si>
    <t>2:10 3:4</t>
  </si>
  <si>
    <t>6:4 9:3</t>
  </si>
  <si>
    <t>4:6 3:9</t>
  </si>
  <si>
    <t>5:2 4:7</t>
  </si>
  <si>
    <t>2:5 7:4</t>
  </si>
  <si>
    <t>5:8 4:4</t>
  </si>
  <si>
    <t>8:5 4:4</t>
  </si>
  <si>
    <t>1:9 6:7</t>
  </si>
  <si>
    <t>9:1 7:6</t>
  </si>
  <si>
    <t>2:6 4:11</t>
  </si>
  <si>
    <t>6:2 11:4</t>
  </si>
  <si>
    <t>13-15</t>
  </si>
  <si>
    <t>23-24</t>
  </si>
  <si>
    <t>11:1 8:1</t>
  </si>
  <si>
    <t>1:11 1:8</t>
  </si>
  <si>
    <t>7:5 3:3</t>
  </si>
  <si>
    <t>5:7 3:3</t>
  </si>
  <si>
    <t>8:5 8:2</t>
  </si>
  <si>
    <t>5:8 2:8</t>
  </si>
  <si>
    <t>9:1 8:4</t>
  </si>
  <si>
    <t>1:9 4:8</t>
  </si>
  <si>
    <t>5:2 4:2</t>
  </si>
  <si>
    <t>2:5 2:5</t>
  </si>
  <si>
    <t>8:4 6:4</t>
  </si>
  <si>
    <t>4:8 4:6</t>
  </si>
  <si>
    <t>36-17</t>
  </si>
  <si>
    <t>19</t>
  </si>
  <si>
    <t>38-25</t>
  </si>
  <si>
    <t>30-27</t>
  </si>
  <si>
    <t>15-50</t>
  </si>
  <si>
    <t>13</t>
  </si>
  <si>
    <t>-35</t>
  </si>
  <si>
    <t>0 : 1</t>
  </si>
  <si>
    <t>1 : 0</t>
  </si>
  <si>
    <t>11</t>
  </si>
  <si>
    <t>8</t>
  </si>
  <si>
    <t>-11</t>
  </si>
  <si>
    <t>Alduda Team</t>
  </si>
  <si>
    <t>CONFIANZA</t>
  </si>
  <si>
    <t>Призеры девяти серий</t>
  </si>
  <si>
    <t>Золото</t>
  </si>
  <si>
    <t>Серебро</t>
  </si>
  <si>
    <t>Бронза</t>
  </si>
  <si>
    <t>Призеры Десяти</t>
  </si>
  <si>
    <t>Убийцы с КИПА</t>
  </si>
  <si>
    <t>8:3 +:-</t>
  </si>
  <si>
    <t>11-3</t>
  </si>
  <si>
    <t>O-2</t>
  </si>
  <si>
    <t>3-11</t>
  </si>
  <si>
    <t>7:4 +:-</t>
  </si>
  <si>
    <t>3:8 -:+</t>
  </si>
  <si>
    <t>4:7 -:+</t>
  </si>
  <si>
    <t>10-4</t>
  </si>
  <si>
    <t>4-10</t>
  </si>
  <si>
    <t>15-4</t>
  </si>
  <si>
    <t>4-15</t>
  </si>
  <si>
    <t>9:1 7:3</t>
  </si>
  <si>
    <t>16-4</t>
  </si>
  <si>
    <t>4-16</t>
  </si>
  <si>
    <t>1:9 3:7</t>
  </si>
  <si>
    <t>«Мастер-Cерия 2015/2016»</t>
  </si>
  <si>
    <t>PROFI OPEN 2015</t>
  </si>
  <si>
    <t>6:4 4:7 4:3</t>
  </si>
  <si>
    <t>4:6 7:4 3:4</t>
  </si>
  <si>
    <t>14-14</t>
  </si>
  <si>
    <t>О-2</t>
  </si>
  <si>
    <t>Сборная Мегаспорта</t>
  </si>
  <si>
    <t>7-6</t>
  </si>
  <si>
    <t>IgroSports</t>
  </si>
  <si>
    <t>Funkysouls.com</t>
  </si>
  <si>
    <t>Убийцы с кипа</t>
  </si>
  <si>
    <t>PREDВИДЕНИЕ II 2015/16</t>
  </si>
  <si>
    <t>15-7</t>
  </si>
  <si>
    <t>14-10</t>
  </si>
  <si>
    <t>15-12</t>
  </si>
  <si>
    <t>12-13</t>
  </si>
  <si>
    <t>11-13</t>
  </si>
  <si>
    <t>10-18</t>
  </si>
  <si>
    <t>131</t>
  </si>
  <si>
    <t>136</t>
  </si>
  <si>
    <t>137</t>
  </si>
  <si>
    <t>110</t>
  </si>
  <si>
    <t>130</t>
  </si>
  <si>
    <t>127</t>
  </si>
  <si>
    <t>121</t>
  </si>
  <si>
    <t>15-10</t>
  </si>
  <si>
    <t>20-10</t>
  </si>
  <si>
    <t>21-14</t>
  </si>
  <si>
    <t>16-14</t>
  </si>
  <si>
    <t>15-15</t>
  </si>
  <si>
    <t>13-14</t>
  </si>
  <si>
    <t>10-20</t>
  </si>
  <si>
    <t>9-22</t>
  </si>
  <si>
    <t>157</t>
  </si>
  <si>
    <t>158</t>
  </si>
  <si>
    <t>169</t>
  </si>
  <si>
    <t>139</t>
  </si>
  <si>
    <t>140</t>
  </si>
  <si>
    <t>Группа Январия Садекова</t>
  </si>
  <si>
    <t>Группа Александра Ширвиндта</t>
  </si>
  <si>
    <t>Лга КСП "Торпедо" - 2016</t>
  </si>
  <si>
    <t>Штр</t>
  </si>
  <si>
    <t>мячи</t>
  </si>
  <si>
    <t>РМ</t>
  </si>
  <si>
    <t>6:2</t>
  </si>
  <si>
    <t>38-22</t>
  </si>
  <si>
    <t>24-22</t>
  </si>
  <si>
    <t>4:9</t>
  </si>
  <si>
    <t>4:6</t>
  </si>
  <si>
    <t>27-25</t>
  </si>
  <si>
    <t>4:7</t>
  </si>
  <si>
    <t>9:0</t>
  </si>
  <si>
    <t>3:6</t>
  </si>
  <si>
    <t>30-25</t>
  </si>
  <si>
    <t>3:5</t>
  </si>
  <si>
    <t>31-31</t>
  </si>
  <si>
    <t>7:6</t>
  </si>
  <si>
    <t>0:9</t>
  </si>
  <si>
    <t>26-31</t>
  </si>
  <si>
    <t>1:7</t>
  </si>
  <si>
    <t>7:5</t>
  </si>
  <si>
    <t>23-33</t>
  </si>
  <si>
    <t>4:5</t>
  </si>
  <si>
    <t>5:7</t>
  </si>
  <si>
    <t>25-35</t>
  </si>
  <si>
    <t>7:2</t>
  </si>
  <si>
    <t>30-16</t>
  </si>
  <si>
    <t>0:8</t>
  </si>
  <si>
    <t>9:2</t>
  </si>
  <si>
    <t>27-21</t>
  </si>
  <si>
    <t>8:0</t>
  </si>
  <si>
    <t>28-16</t>
  </si>
  <si>
    <t>23-20</t>
  </si>
  <si>
    <t>28-21</t>
  </si>
  <si>
    <t>4:8</t>
  </si>
  <si>
    <t>17-33</t>
  </si>
  <si>
    <t>2:8</t>
  </si>
  <si>
    <t>16-31</t>
  </si>
  <si>
    <t>8:3</t>
  </si>
  <si>
    <t>20-31</t>
  </si>
  <si>
    <t>33-23</t>
  </si>
  <si>
    <t>0:11</t>
  </si>
  <si>
    <t>3:7</t>
  </si>
  <si>
    <t>37-24</t>
  </si>
  <si>
    <t>6:5</t>
  </si>
  <si>
    <t>11:0</t>
  </si>
  <si>
    <t>34-22</t>
  </si>
  <si>
    <t>37-31</t>
  </si>
  <si>
    <t>22-33</t>
  </si>
  <si>
    <t>14-44</t>
  </si>
  <si>
    <t>9:3</t>
  </si>
  <si>
    <t>35-15</t>
  </si>
  <si>
    <t>32-29</t>
  </si>
  <si>
    <t>30-30</t>
  </si>
  <si>
    <t>fprognoz.com</t>
  </si>
  <si>
    <t>9:1</t>
  </si>
  <si>
    <t>20-27</t>
  </si>
  <si>
    <t>26-36</t>
  </si>
  <si>
    <t>3:9</t>
  </si>
  <si>
    <t>1:9</t>
  </si>
  <si>
    <t>22-41</t>
  </si>
  <si>
    <t>ЧЕМПИОНАТ ПРОГНОЗОВ</t>
  </si>
  <si>
    <t>W1-W8</t>
  </si>
  <si>
    <t>W2-W7</t>
  </si>
  <si>
    <t>W3-W6</t>
  </si>
  <si>
    <t>W4-W5</t>
  </si>
  <si>
    <t>Предвидение</t>
  </si>
  <si>
    <t>ИТОГО Предвидение</t>
  </si>
  <si>
    <t>ИМ</t>
  </si>
  <si>
    <t>9-16</t>
  </si>
  <si>
    <t> 25 - 17 </t>
  </si>
  <si>
    <t> 252</t>
  </si>
  <si>
    <t> 29 - 17 </t>
  </si>
  <si>
    <t> 258</t>
  </si>
  <si>
    <t> 27 - 20 </t>
  </si>
  <si>
    <t> 263</t>
  </si>
  <si>
    <t> 20 - 25 </t>
  </si>
  <si>
    <t> -5 </t>
  </si>
  <si>
    <t> 242</t>
  </si>
  <si>
    <t> 23 - 25 </t>
  </si>
  <si>
    <t> 235</t>
  </si>
  <si>
    <t> 21 - 27 </t>
  </si>
  <si>
    <t> 23 - 21 </t>
  </si>
  <si>
    <t> 226</t>
  </si>
  <si>
    <t> 21 - 21 </t>
  </si>
  <si>
    <t> 241</t>
  </si>
  <si>
    <t> 16 - 27 </t>
  </si>
  <si>
    <t> -11 </t>
  </si>
  <si>
    <t> 238</t>
  </si>
  <si>
    <t> 35 - 14 </t>
  </si>
  <si>
    <t> +21 </t>
  </si>
  <si>
    <t> 283</t>
  </si>
  <si>
    <t> 26 - 16 </t>
  </si>
  <si>
    <t> 267</t>
  </si>
  <si>
    <t> 25 - 16 </t>
  </si>
  <si>
    <t> +9 </t>
  </si>
  <si>
    <t> 269</t>
  </si>
  <si>
    <t> 28 - 20 </t>
  </si>
  <si>
    <t> 231</t>
  </si>
  <si>
    <t> 19 - 22 </t>
  </si>
  <si>
    <t> 199</t>
  </si>
  <si>
    <t> 19 - 26 </t>
  </si>
  <si>
    <t> 251</t>
  </si>
  <si>
    <t> 18 - 27 </t>
  </si>
  <si>
    <t> 18 - 28 </t>
  </si>
  <si>
    <t> 236</t>
  </si>
  <si>
    <t> 245</t>
  </si>
  <si>
    <t> 27 - 14 </t>
  </si>
  <si>
    <t> 243</t>
  </si>
  <si>
    <t> 27 - 17 </t>
  </si>
  <si>
    <t> 24 - 22 </t>
  </si>
  <si>
    <t> 246</t>
  </si>
  <si>
    <t> 17 - 24 </t>
  </si>
  <si>
    <t> 239</t>
  </si>
  <si>
    <t> 26 - 25 </t>
  </si>
  <si>
    <t> 253</t>
  </si>
  <si>
    <t> 22 - 23 </t>
  </si>
  <si>
    <t> 237</t>
  </si>
  <si>
    <t> 233</t>
  </si>
  <si>
    <t> 12 - 33 </t>
  </si>
  <si>
    <t> 206</t>
  </si>
  <si>
    <t> 28 - 15 </t>
  </si>
  <si>
    <t> 260</t>
  </si>
  <si>
    <t> 247</t>
  </si>
  <si>
    <t> 31 - 21 </t>
  </si>
  <si>
    <t> 25 - 20 </t>
  </si>
  <si>
    <t> 248</t>
  </si>
  <si>
    <t> 25 - 22 </t>
  </si>
  <si>
    <t> 230</t>
  </si>
  <si>
    <t> 22 - 21 </t>
  </si>
  <si>
    <t> 22 - 18 </t>
  </si>
  <si>
    <t> 23 - 27 </t>
  </si>
  <si>
    <t> 15 - 34 </t>
  </si>
  <si>
    <t> -19 </t>
  </si>
  <si>
    <t> 227</t>
  </si>
  <si>
    <t> 10 - 35 </t>
  </si>
  <si>
    <t> -25 </t>
  </si>
  <si>
    <t>10.</t>
  </si>
  <si>
    <t>37-40</t>
  </si>
  <si>
    <t>ФЕСТИВАЛЬ ФП - 2015/16</t>
  </si>
  <si>
    <t>9 : 0</t>
  </si>
  <si>
    <t>0 : 9</t>
  </si>
  <si>
    <t>Дополнительный матч.</t>
  </si>
  <si>
    <t>(26-38)</t>
  </si>
  <si>
    <t>Квалификация</t>
  </si>
  <si>
    <t>(33-40)</t>
  </si>
  <si>
    <t>КЛФП - Минск</t>
  </si>
  <si>
    <t>(36-34)</t>
  </si>
  <si>
    <t>(32-34)</t>
  </si>
  <si>
    <t>(22-13)</t>
  </si>
  <si>
    <t>Матч за 3-е место</t>
  </si>
  <si>
    <t>W9-W11</t>
  </si>
  <si>
    <t>W10-W12</t>
  </si>
  <si>
    <t>Групповой турнир.</t>
  </si>
  <si>
    <t>Группа Геннадий Шпаликова</t>
  </si>
  <si>
    <t>Группа Анатолия Папанова</t>
  </si>
  <si>
    <t>Группа Аркадия Вольская</t>
  </si>
  <si>
    <t>Группа Валентина Валентинова</t>
  </si>
  <si>
    <t>0</t>
  </si>
  <si>
    <t>18-11</t>
  </si>
  <si>
    <t>12-12</t>
  </si>
  <si>
    <t>20-8</t>
  </si>
  <si>
    <t>7-17</t>
  </si>
  <si>
    <t>6-13</t>
  </si>
  <si>
    <t>119</t>
  </si>
  <si>
    <t>114</t>
  </si>
  <si>
    <t>102</t>
  </si>
  <si>
    <t>113</t>
  </si>
  <si>
    <t>17-10</t>
  </si>
  <si>
    <t>13-9</t>
  </si>
  <si>
    <t>13-11</t>
  </si>
  <si>
    <t>10-13</t>
  </si>
  <si>
    <t>9-17</t>
  </si>
  <si>
    <t>115</t>
  </si>
  <si>
    <t>125</t>
  </si>
  <si>
    <t>109</t>
  </si>
  <si>
    <t>118</t>
  </si>
  <si>
    <t>84</t>
  </si>
  <si>
    <t>16-9</t>
  </si>
  <si>
    <t>9-18</t>
  </si>
  <si>
    <t>6-15</t>
  </si>
  <si>
    <t>13-12</t>
  </si>
  <si>
    <t>8-11</t>
  </si>
  <si>
    <t>123</t>
  </si>
  <si>
    <t>107</t>
  </si>
  <si>
    <t>83</t>
  </si>
  <si>
    <t>86</t>
  </si>
  <si>
    <t>15-9</t>
  </si>
  <si>
    <t>16-12</t>
  </si>
  <si>
    <t>8-17</t>
  </si>
  <si>
    <t>6-19</t>
  </si>
  <si>
    <t>135</t>
  </si>
  <si>
    <t>132</t>
  </si>
  <si>
    <t>106</t>
  </si>
  <si>
    <t>0 : 8</t>
  </si>
  <si>
    <t>8 : 0</t>
  </si>
  <si>
    <t>- : -</t>
  </si>
  <si>
    <t>22-24</t>
  </si>
  <si>
    <t>1/8 финала.</t>
  </si>
  <si>
    <t>ФФП, 1/8 финала (181)</t>
  </si>
  <si>
    <t>СЧЕТ</t>
  </si>
  <si>
    <t> 1. </t>
  </si>
  <si>
    <t> 2. </t>
  </si>
  <si>
    <t>ФФП, 1/8 финала (182)</t>
  </si>
  <si>
    <t>ФФП, 1/8 финала (183)</t>
  </si>
  <si>
    <t>ФФП, 1/8 финала (184)</t>
  </si>
  <si>
    <t>ФФП, 1/8 финала (185)</t>
  </si>
  <si>
    <t>ФФП, 1/8 финала (186)</t>
  </si>
  <si>
    <t>ФФП, 1/8 финала (187)</t>
  </si>
  <si>
    <t>ФФП, 1/8 финала (188)</t>
  </si>
  <si>
    <t>11 - 4</t>
  </si>
  <si>
    <t>4 - 11</t>
  </si>
  <si>
    <t>8 - 7</t>
  </si>
  <si>
    <t>7 - 8</t>
  </si>
  <si>
    <t>8 - 2</t>
  </si>
  <si>
    <t>2 - 8</t>
  </si>
  <si>
    <t>11 - 10</t>
  </si>
  <si>
    <t>10 - 11</t>
  </si>
  <si>
    <t>ФПЛ Суперлига</t>
  </si>
  <si>
    <t>SaSiSa</t>
  </si>
  <si>
    <t>0 : 0</t>
  </si>
  <si>
    <t>3 :0</t>
  </si>
  <si>
    <t>16-16</t>
  </si>
  <si>
    <t>21-23</t>
  </si>
  <si>
    <t>24-27</t>
  </si>
  <si>
    <t>28-31</t>
  </si>
  <si>
    <t>32-35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</si>
</sst>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0.0"/>
    <numFmt numFmtId="166" formatCode="#,##0.0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48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9"/>
      <color indexed="55"/>
      <name val="Verdana"/>
      <family val="2"/>
    </font>
    <font>
      <sz val="11"/>
      <color indexed="10"/>
      <name val="Verdana"/>
      <family val="2"/>
    </font>
    <font>
      <b/>
      <sz val="16"/>
      <color indexed="10"/>
      <name val="Arial Cyr"/>
      <family val="0"/>
    </font>
    <font>
      <b/>
      <sz val="10"/>
      <name val="Arial Cyr"/>
      <family val="0"/>
    </font>
    <font>
      <b/>
      <sz val="10"/>
      <color indexed="63"/>
      <name val="Verdana"/>
      <family val="2"/>
    </font>
    <font>
      <b/>
      <sz val="10"/>
      <name val="Arial CYR"/>
      <family val="0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7"/>
      <color indexed="8"/>
      <name val="Times New Roman"/>
      <family val="1"/>
    </font>
    <font>
      <sz val="10"/>
      <color indexed="8"/>
      <name val="Verdana"/>
      <family val="2"/>
    </font>
    <font>
      <sz val="11"/>
      <color indexed="56"/>
      <name val="Verdana"/>
      <family val="2"/>
    </font>
    <font>
      <b/>
      <sz val="11"/>
      <name val="Verdana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36"/>
      <name val="Arial CYR"/>
      <family val="0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30"/>
      <name val="Verdana"/>
      <family val="2"/>
    </font>
    <font>
      <sz val="9"/>
      <color indexed="30"/>
      <name val="Verdana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0"/>
      <color indexed="30"/>
      <name val="Verdana"/>
      <family val="2"/>
    </font>
    <font>
      <sz val="16"/>
      <color indexed="30"/>
      <name val="Verdana"/>
      <family val="2"/>
    </font>
    <font>
      <b/>
      <sz val="11"/>
      <color indexed="30"/>
      <name val="Verdana"/>
      <family val="2"/>
    </font>
    <font>
      <b/>
      <sz val="10"/>
      <color indexed="8"/>
      <name val="Verdana"/>
      <family val="2"/>
    </font>
    <font>
      <b/>
      <sz val="16"/>
      <color indexed="8"/>
      <name val="Calibri"/>
      <family val="2"/>
    </font>
    <font>
      <sz val="10"/>
      <color indexed="63"/>
      <name val="Verdana"/>
      <family val="2"/>
    </font>
    <font>
      <b/>
      <sz val="14"/>
      <color indexed="8"/>
      <name val="Georgia"/>
      <family val="1"/>
    </font>
    <font>
      <u val="single"/>
      <sz val="12"/>
      <color indexed="8"/>
      <name val="Verdana"/>
      <family val="2"/>
    </font>
    <font>
      <sz val="9"/>
      <color indexed="8"/>
      <name val="Calibri"/>
      <family val="2"/>
    </font>
    <font>
      <b/>
      <sz val="12"/>
      <color indexed="18"/>
      <name val="Calibri"/>
      <family val="2"/>
    </font>
    <font>
      <b/>
      <sz val="9"/>
      <color indexed="8"/>
      <name val="Calibri"/>
      <family val="2"/>
    </font>
    <font>
      <sz val="12"/>
      <color indexed="1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ahoma"/>
      <family val="2"/>
    </font>
    <font>
      <b/>
      <sz val="14"/>
      <color rgb="FF000000"/>
      <name val="Tahoma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b/>
      <sz val="10"/>
      <color rgb="FF333333"/>
      <name val="Verdana"/>
      <family val="2"/>
    </font>
    <font>
      <b/>
      <sz val="12"/>
      <color rgb="FF7030A0"/>
      <name val="Arial CYR"/>
      <family val="0"/>
    </font>
    <font>
      <sz val="11"/>
      <color theme="1"/>
      <name val="Verdana"/>
      <family val="2"/>
    </font>
    <font>
      <b/>
      <sz val="14"/>
      <color theme="1"/>
      <name val="Calibri"/>
      <family val="2"/>
    </font>
    <font>
      <sz val="11"/>
      <color rgb="FF0070C0"/>
      <name val="Verdana"/>
      <family val="2"/>
    </font>
    <font>
      <sz val="9"/>
      <color rgb="FF0070C0"/>
      <name val="Verdana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0"/>
      <color rgb="FF0070C0"/>
      <name val="Verdana"/>
      <family val="2"/>
    </font>
    <font>
      <sz val="16"/>
      <color rgb="FF0070C0"/>
      <name val="Verdana"/>
      <family val="2"/>
    </font>
    <font>
      <b/>
      <sz val="11"/>
      <color rgb="FF0070C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16"/>
      <color theme="1"/>
      <name val="Calibri"/>
      <family val="2"/>
    </font>
    <font>
      <sz val="10"/>
      <color theme="1"/>
      <name val="Verdana"/>
      <family val="2"/>
    </font>
    <font>
      <sz val="10"/>
      <color rgb="FF333333"/>
      <name val="Verdana"/>
      <family val="2"/>
    </font>
    <font>
      <b/>
      <sz val="14"/>
      <color rgb="FF000000"/>
      <name val="Georgia"/>
      <family val="1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2"/>
      <color rgb="FF000080"/>
      <name val="Calibri"/>
      <family val="2"/>
    </font>
    <font>
      <u val="single"/>
      <sz val="12"/>
      <color rgb="FF000000"/>
      <name val="Verdana"/>
      <family val="2"/>
    </font>
    <font>
      <b/>
      <sz val="12"/>
      <color rgb="FF000080"/>
      <name val="Calibri"/>
      <family val="2"/>
    </font>
    <font>
      <b/>
      <sz val="18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EEEFF"/>
        <bgColor indexed="64"/>
      </patternFill>
    </fill>
    <fill>
      <patternFill patternType="solid">
        <fgColor rgb="FF66E238"/>
        <bgColor indexed="64"/>
      </patternFill>
    </fill>
    <fill>
      <patternFill patternType="solid">
        <fgColor rgb="FFF7E76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BE66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FC20"/>
        <bgColor indexed="64"/>
      </patternFill>
    </fill>
    <fill>
      <patternFill patternType="solid">
        <fgColor rgb="FF66C838"/>
        <bgColor indexed="64"/>
      </patternFill>
    </fill>
    <fill>
      <patternFill patternType="solid">
        <fgColor rgb="FFFFCF37"/>
        <bgColor indexed="64"/>
      </patternFill>
    </fill>
    <fill>
      <patternFill patternType="solid">
        <fgColor rgb="FFF8D81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ck"/>
      <bottom style="medium"/>
    </border>
    <border>
      <left/>
      <right style="thick"/>
      <top style="thick"/>
      <bottom style="medium"/>
    </border>
    <border>
      <left/>
      <right style="medium"/>
      <top style="thick"/>
      <bottom style="medium"/>
    </border>
    <border>
      <left style="thick"/>
      <right style="medium"/>
      <top/>
      <bottom style="medium"/>
    </border>
    <border>
      <left/>
      <right style="thick"/>
      <top/>
      <bottom style="medium"/>
    </border>
    <border>
      <left style="thick"/>
      <right style="medium"/>
      <top/>
      <bottom style="thick"/>
    </border>
    <border>
      <left/>
      <right style="thick"/>
      <top/>
      <bottom style="thick"/>
    </border>
    <border>
      <left/>
      <right style="medium"/>
      <top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double">
        <color theme="7" tint="-0.24993999302387238"/>
      </top>
      <bottom style="medium"/>
    </border>
    <border>
      <left/>
      <right style="double">
        <color theme="7" tint="-0.24993999302387238"/>
      </right>
      <top style="double">
        <color theme="7" tint="-0.24993999302387238"/>
      </top>
      <bottom style="medium"/>
    </border>
    <border>
      <left style="double">
        <color theme="7" tint="-0.24993999302387238"/>
      </left>
      <right style="medium"/>
      <top/>
      <bottom style="medium"/>
    </border>
    <border>
      <left/>
      <right style="double">
        <color theme="7" tint="-0.24993999302387238"/>
      </right>
      <top/>
      <bottom style="medium"/>
    </border>
    <border>
      <left/>
      <right style="medium"/>
      <top/>
      <bottom style="double">
        <color theme="7" tint="-0.24993999302387238"/>
      </bottom>
    </border>
    <border>
      <left style="double"/>
      <right style="double"/>
      <top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double">
        <color theme="7" tint="-0.24993999302387238"/>
      </right>
      <top/>
      <bottom style="double">
        <color theme="7" tint="-0.24993999302387238"/>
      </bottom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/>
    </border>
    <border>
      <left style="thick"/>
      <right style="medium"/>
      <top style="medium"/>
      <bottom style="thin"/>
    </border>
    <border>
      <left/>
      <right style="thick"/>
      <top style="medium"/>
      <bottom style="thin"/>
    </border>
    <border>
      <left style="medium"/>
      <right style="thin"/>
      <top/>
      <bottom/>
    </border>
    <border>
      <left/>
      <right/>
      <top style="medium"/>
      <bottom/>
    </border>
    <border>
      <left style="medium"/>
      <right/>
      <top style="thin"/>
      <bottom style="double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 style="double"/>
      <right style="double"/>
      <top style="double"/>
      <bottom/>
    </border>
    <border>
      <left style="double">
        <color theme="7" tint="-0.24993999302387238"/>
      </left>
      <right/>
      <top style="double">
        <color theme="7" tint="-0.24993999302387238"/>
      </top>
      <bottom style="medium"/>
    </border>
    <border>
      <left/>
      <right style="medium"/>
      <top style="medium"/>
      <bottom/>
    </border>
    <border>
      <left/>
      <right/>
      <top/>
      <bottom style="thick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" fillId="0" borderId="0">
      <alignment/>
      <protection/>
    </xf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6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 horizontal="right"/>
    </xf>
    <xf numFmtId="0" fontId="83" fillId="0" borderId="0" xfId="0" applyFont="1" applyAlignment="1">
      <alignment/>
    </xf>
    <xf numFmtId="0" fontId="83" fillId="0" borderId="0" xfId="0" applyFont="1" applyAlignment="1">
      <alignment horizontal="right"/>
    </xf>
    <xf numFmtId="0" fontId="84" fillId="0" borderId="0" xfId="0" applyFont="1" applyAlignment="1">
      <alignment/>
    </xf>
    <xf numFmtId="0" fontId="10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165" fontId="11" fillId="33" borderId="10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right" wrapText="1"/>
    </xf>
    <xf numFmtId="165" fontId="10" fillId="0" borderId="0" xfId="0" applyNumberFormat="1" applyFont="1" applyAlignment="1">
      <alignment/>
    </xf>
    <xf numFmtId="0" fontId="11" fillId="35" borderId="11" xfId="0" applyFont="1" applyFill="1" applyBorder="1" applyAlignment="1">
      <alignment horizontal="right" wrapText="1"/>
    </xf>
    <xf numFmtId="0" fontId="11" fillId="0" borderId="12" xfId="0" applyFont="1" applyFill="1" applyBorder="1" applyAlignment="1">
      <alignment horizontal="right" wrapText="1"/>
    </xf>
    <xf numFmtId="0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85" fillId="0" borderId="13" xfId="0" applyFont="1" applyBorder="1" applyAlignment="1">
      <alignment horizontal="center" vertical="top" wrapText="1"/>
    </xf>
    <xf numFmtId="0" fontId="85" fillId="0" borderId="14" xfId="0" applyFont="1" applyBorder="1" applyAlignment="1">
      <alignment horizontal="center" vertical="top" wrapText="1"/>
    </xf>
    <xf numFmtId="0" fontId="86" fillId="0" borderId="15" xfId="0" applyFont="1" applyBorder="1" applyAlignment="1">
      <alignment horizontal="center" vertical="top" wrapText="1"/>
    </xf>
    <xf numFmtId="0" fontId="86" fillId="0" borderId="16" xfId="0" applyFont="1" applyBorder="1" applyAlignment="1">
      <alignment horizontal="center" vertical="top" wrapText="1"/>
    </xf>
    <xf numFmtId="0" fontId="86" fillId="0" borderId="17" xfId="0" applyFont="1" applyBorder="1" applyAlignment="1">
      <alignment horizontal="center" vertical="top" wrapText="1"/>
    </xf>
    <xf numFmtId="0" fontId="86" fillId="0" borderId="18" xfId="0" applyFont="1" applyBorder="1" applyAlignment="1">
      <alignment horizontal="center" vertical="top" wrapText="1"/>
    </xf>
    <xf numFmtId="0" fontId="86" fillId="0" borderId="19" xfId="0" applyFont="1" applyBorder="1" applyAlignment="1">
      <alignment horizontal="center" vertical="top" wrapText="1"/>
    </xf>
    <xf numFmtId="0" fontId="86" fillId="0" borderId="20" xfId="0" applyFont="1" applyBorder="1" applyAlignment="1">
      <alignment horizontal="center" vertical="top" wrapText="1"/>
    </xf>
    <xf numFmtId="0" fontId="0" fillId="36" borderId="0" xfId="0" applyFill="1" applyAlignment="1">
      <alignment vertical="top" wrapText="1"/>
    </xf>
    <xf numFmtId="0" fontId="0" fillId="0" borderId="0" xfId="0" applyAlignment="1">
      <alignment wrapText="1"/>
    </xf>
    <xf numFmtId="0" fontId="85" fillId="0" borderId="21" xfId="0" applyFont="1" applyBorder="1" applyAlignment="1">
      <alignment horizontal="center" vertical="top" wrapText="1"/>
    </xf>
    <xf numFmtId="0" fontId="85" fillId="0" borderId="22" xfId="0" applyFont="1" applyBorder="1" applyAlignment="1">
      <alignment horizontal="center" vertical="top" wrapText="1"/>
    </xf>
    <xf numFmtId="0" fontId="85" fillId="0" borderId="23" xfId="0" applyFont="1" applyBorder="1" applyAlignment="1">
      <alignment horizontal="center" vertical="top" wrapText="1"/>
    </xf>
    <xf numFmtId="0" fontId="86" fillId="0" borderId="24" xfId="0" applyFont="1" applyBorder="1" applyAlignment="1">
      <alignment horizontal="center" vertical="top" wrapText="1"/>
    </xf>
    <xf numFmtId="0" fontId="86" fillId="0" borderId="25" xfId="0" applyFont="1" applyBorder="1" applyAlignment="1">
      <alignment horizontal="center" vertical="top" wrapText="1"/>
    </xf>
    <xf numFmtId="0" fontId="86" fillId="0" borderId="10" xfId="0" applyFont="1" applyBorder="1" applyAlignment="1">
      <alignment horizontal="center" vertical="top" wrapText="1"/>
    </xf>
    <xf numFmtId="0" fontId="86" fillId="0" borderId="26" xfId="0" applyFont="1" applyBorder="1" applyAlignment="1">
      <alignment horizontal="center" vertical="top" wrapText="1"/>
    </xf>
    <xf numFmtId="0" fontId="86" fillId="0" borderId="27" xfId="0" applyFont="1" applyBorder="1" applyAlignment="1">
      <alignment horizontal="center" vertical="top" wrapText="1"/>
    </xf>
    <xf numFmtId="0" fontId="86" fillId="0" borderId="2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83" fillId="0" borderId="0" xfId="0" applyFont="1" applyAlignment="1">
      <alignment horizontal="center"/>
    </xf>
    <xf numFmtId="0" fontId="71" fillId="0" borderId="0" xfId="0" applyFont="1" applyAlignment="1">
      <alignment/>
    </xf>
    <xf numFmtId="0" fontId="86" fillId="0" borderId="32" xfId="0" applyFont="1" applyBorder="1" applyAlignment="1">
      <alignment horizontal="center" vertical="top" wrapText="1"/>
    </xf>
    <xf numFmtId="0" fontId="86" fillId="0" borderId="33" xfId="0" applyFont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center" wrapText="1"/>
    </xf>
    <xf numFmtId="49" fontId="87" fillId="37" borderId="34" xfId="0" applyNumberFormat="1" applyFont="1" applyFill="1" applyBorder="1" applyAlignment="1">
      <alignment horizontal="center"/>
    </xf>
    <xf numFmtId="49" fontId="87" fillId="38" borderId="34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3" fillId="0" borderId="10" xfId="0" applyNumberFormat="1" applyFont="1" applyFill="1" applyBorder="1" applyAlignment="1">
      <alignment horizontal="center" wrapText="1"/>
    </xf>
    <xf numFmtId="1" fontId="13" fillId="0" borderId="10" xfId="0" applyNumberFormat="1" applyFont="1" applyFill="1" applyBorder="1" applyAlignment="1">
      <alignment horizontal="center" wrapText="1"/>
    </xf>
    <xf numFmtId="0" fontId="11" fillId="0" borderId="35" xfId="0" applyFont="1" applyFill="1" applyBorder="1" applyAlignment="1">
      <alignment wrapText="1"/>
    </xf>
    <xf numFmtId="0" fontId="13" fillId="0" borderId="35" xfId="0" applyFont="1" applyFill="1" applyBorder="1" applyAlignment="1">
      <alignment/>
    </xf>
    <xf numFmtId="0" fontId="11" fillId="0" borderId="36" xfId="0" applyFont="1" applyFill="1" applyBorder="1" applyAlignment="1">
      <alignment wrapText="1"/>
    </xf>
    <xf numFmtId="0" fontId="13" fillId="0" borderId="36" xfId="0" applyFont="1" applyFill="1" applyBorder="1" applyAlignment="1">
      <alignment/>
    </xf>
    <xf numFmtId="1" fontId="88" fillId="33" borderId="37" xfId="0" applyNumberFormat="1" applyFont="1" applyFill="1" applyBorder="1" applyAlignment="1">
      <alignment horizontal="right" vertical="center"/>
    </xf>
    <xf numFmtId="0" fontId="88" fillId="33" borderId="38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center" vertical="center" wrapText="1"/>
    </xf>
    <xf numFmtId="165" fontId="11" fillId="33" borderId="40" xfId="0" applyNumberFormat="1" applyFont="1" applyFill="1" applyBorder="1" applyAlignment="1">
      <alignment horizontal="center" vertical="center" wrapText="1"/>
    </xf>
    <xf numFmtId="0" fontId="13" fillId="0" borderId="39" xfId="0" applyNumberFormat="1" applyFont="1" applyFill="1" applyBorder="1" applyAlignment="1">
      <alignment horizontal="center" wrapText="1"/>
    </xf>
    <xf numFmtId="0" fontId="12" fillId="0" borderId="39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1" fillId="0" borderId="41" xfId="0" applyNumberFormat="1" applyFont="1" applyFill="1" applyBorder="1" applyAlignment="1">
      <alignment horizontal="center" wrapText="1"/>
    </xf>
    <xf numFmtId="165" fontId="10" fillId="0" borderId="4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" fontId="2" fillId="0" borderId="44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" fontId="7" fillId="39" borderId="15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64" fontId="2" fillId="0" borderId="4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Fill="1" applyBorder="1" applyAlignment="1">
      <alignment horizontal="center" vertical="center"/>
    </xf>
    <xf numFmtId="1" fontId="7" fillId="39" borderId="50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49" fontId="5" fillId="0" borderId="54" xfId="0" applyNumberFormat="1" applyFont="1" applyFill="1" applyBorder="1" applyAlignment="1">
      <alignment horizontal="center" vertical="center"/>
    </xf>
    <xf numFmtId="1" fontId="7" fillId="39" borderId="54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64" fontId="2" fillId="0" borderId="55" xfId="0" applyNumberFormat="1" applyFont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" fontId="7" fillId="39" borderId="46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49" fontId="5" fillId="0" borderId="53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164" fontId="0" fillId="0" borderId="0" xfId="0" applyNumberFormat="1" applyAlignment="1">
      <alignment/>
    </xf>
    <xf numFmtId="0" fontId="89" fillId="0" borderId="50" xfId="0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0" xfId="0" applyAlignment="1">
      <alignment/>
    </xf>
    <xf numFmtId="49" fontId="86" fillId="0" borderId="32" xfId="0" applyNumberFormat="1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65" fontId="88" fillId="33" borderId="38" xfId="0" applyNumberFormat="1" applyFont="1" applyFill="1" applyBorder="1" applyAlignment="1">
      <alignment horizontal="left" vertical="center"/>
    </xf>
    <xf numFmtId="165" fontId="11" fillId="0" borderId="40" xfId="0" applyNumberFormat="1" applyFont="1" applyFill="1" applyBorder="1" applyAlignment="1">
      <alignment horizontal="center" wrapText="1"/>
    </xf>
    <xf numFmtId="165" fontId="11" fillId="0" borderId="67" xfId="0" applyNumberFormat="1" applyFont="1" applyFill="1" applyBorder="1" applyAlignment="1">
      <alignment horizontal="center" wrapText="1"/>
    </xf>
    <xf numFmtId="166" fontId="88" fillId="33" borderId="38" xfId="0" applyNumberFormat="1" applyFont="1" applyFill="1" applyBorder="1" applyAlignment="1">
      <alignment horizontal="left" vertical="center"/>
    </xf>
    <xf numFmtId="166" fontId="11" fillId="33" borderId="4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8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" fontId="4" fillId="0" borderId="50" xfId="0" applyNumberFormat="1" applyFont="1" applyFill="1" applyBorder="1" applyAlignment="1">
      <alignment horizontal="center" vertical="center"/>
    </xf>
    <xf numFmtId="1" fontId="7" fillId="39" borderId="57" xfId="0" applyNumberFormat="1" applyFont="1" applyFill="1" applyBorder="1" applyAlignment="1">
      <alignment horizontal="center" vertical="center"/>
    </xf>
    <xf numFmtId="1" fontId="4" fillId="0" borderId="57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1" fontId="7" fillId="39" borderId="61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164" fontId="2" fillId="0" borderId="68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2" fillId="0" borderId="12" xfId="0" applyNumberFormat="1" applyFont="1" applyFill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10" fillId="40" borderId="0" xfId="0" applyFont="1" applyFill="1" applyAlignment="1">
      <alignment/>
    </xf>
    <xf numFmtId="0" fontId="2" fillId="0" borderId="69" xfId="0" applyFont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0" borderId="59" xfId="0" applyFont="1" applyFill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0" fontId="2" fillId="0" borderId="60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49" fontId="2" fillId="0" borderId="70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57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wrapText="1"/>
    </xf>
    <xf numFmtId="0" fontId="11" fillId="41" borderId="11" xfId="0" applyFont="1" applyFill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2" fillId="0" borderId="0" xfId="0" applyNumberFormat="1" applyFont="1" applyAlignment="1">
      <alignment/>
    </xf>
    <xf numFmtId="0" fontId="71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81" fillId="0" borderId="0" xfId="0" applyNumberFormat="1" applyFont="1" applyAlignment="1">
      <alignment/>
    </xf>
    <xf numFmtId="0" fontId="83" fillId="0" borderId="0" xfId="0" applyNumberFormat="1" applyFont="1" applyAlignment="1">
      <alignment/>
    </xf>
    <xf numFmtId="0" fontId="84" fillId="0" borderId="0" xfId="0" applyNumberFormat="1" applyFont="1" applyAlignment="1">
      <alignment/>
    </xf>
    <xf numFmtId="0" fontId="83" fillId="0" borderId="0" xfId="0" applyNumberFormat="1" applyFont="1" applyAlignment="1">
      <alignment horizontal="center"/>
    </xf>
    <xf numFmtId="0" fontId="83" fillId="0" borderId="0" xfId="0" applyNumberFormat="1" applyFont="1" applyAlignment="1">
      <alignment horizontal="right"/>
    </xf>
    <xf numFmtId="0" fontId="87" fillId="37" borderId="34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49" fontId="2" fillId="0" borderId="43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vertical="center"/>
    </xf>
    <xf numFmtId="49" fontId="2" fillId="0" borderId="51" xfId="0" applyNumberFormat="1" applyFont="1" applyBorder="1" applyAlignment="1">
      <alignment vertical="center"/>
    </xf>
    <xf numFmtId="49" fontId="2" fillId="0" borderId="55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1" fontId="7" fillId="39" borderId="60" xfId="0" applyNumberFormat="1" applyFont="1" applyFill="1" applyBorder="1" applyAlignment="1">
      <alignment horizontal="center" vertical="center"/>
    </xf>
    <xf numFmtId="49" fontId="5" fillId="0" borderId="61" xfId="0" applyNumberFormat="1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9" xfId="0" applyFont="1" applyBorder="1" applyAlignment="1">
      <alignment vertical="center"/>
    </xf>
    <xf numFmtId="49" fontId="4" fillId="0" borderId="71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4" fillId="0" borderId="72" xfId="0" applyFont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164" fontId="4" fillId="0" borderId="70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164" fontId="29" fillId="0" borderId="60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64" fontId="29" fillId="0" borderId="17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0" fillId="0" borderId="0" xfId="0" applyNumberFormat="1" applyAlignment="1">
      <alignment horizontal="right"/>
    </xf>
    <xf numFmtId="49" fontId="71" fillId="0" borderId="0" xfId="0" applyNumberFormat="1" applyFont="1" applyFill="1" applyAlignment="1">
      <alignment/>
    </xf>
    <xf numFmtId="0" fontId="71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1" fontId="71" fillId="0" borderId="0" xfId="0" applyNumberFormat="1" applyFont="1" applyFill="1" applyAlignment="1">
      <alignment horizontal="center"/>
    </xf>
    <xf numFmtId="0" fontId="17" fillId="42" borderId="61" xfId="0" applyFont="1" applyFill="1" applyBorder="1" applyAlignment="1">
      <alignment horizontal="center" vertical="center"/>
    </xf>
    <xf numFmtId="49" fontId="18" fillId="0" borderId="66" xfId="0" applyNumberFormat="1" applyFont="1" applyBorder="1" applyAlignment="1">
      <alignment horizontal="center" vertical="center"/>
    </xf>
    <xf numFmtId="0" fontId="17" fillId="42" borderId="50" xfId="0" applyFont="1" applyFill="1" applyBorder="1" applyAlignment="1">
      <alignment horizontal="center" vertical="center"/>
    </xf>
    <xf numFmtId="49" fontId="18" fillId="0" borderId="64" xfId="0" applyNumberFormat="1" applyFont="1" applyBorder="1" applyAlignment="1">
      <alignment horizontal="center" vertical="center"/>
    </xf>
    <xf numFmtId="0" fontId="17" fillId="43" borderId="50" xfId="0" applyFont="1" applyFill="1" applyBorder="1" applyAlignment="1">
      <alignment horizontal="center" vertical="center"/>
    </xf>
    <xf numFmtId="0" fontId="17" fillId="44" borderId="50" xfId="0" applyFont="1" applyFill="1" applyBorder="1" applyAlignment="1">
      <alignment horizontal="center" vertical="center"/>
    </xf>
    <xf numFmtId="0" fontId="17" fillId="44" borderId="62" xfId="0" applyFont="1" applyFill="1" applyBorder="1" applyAlignment="1">
      <alignment horizontal="center" vertical="center"/>
    </xf>
    <xf numFmtId="49" fontId="18" fillId="0" borderId="75" xfId="0" applyNumberFormat="1" applyFont="1" applyBorder="1" applyAlignment="1">
      <alignment horizontal="center" vertical="center"/>
    </xf>
    <xf numFmtId="49" fontId="4" fillId="45" borderId="76" xfId="0" applyNumberFormat="1" applyFont="1" applyFill="1" applyBorder="1" applyAlignment="1">
      <alignment vertical="center"/>
    </xf>
    <xf numFmtId="49" fontId="4" fillId="45" borderId="77" xfId="0" applyNumberFormat="1" applyFont="1" applyFill="1" applyBorder="1" applyAlignment="1">
      <alignment vertical="center"/>
    </xf>
    <xf numFmtId="49" fontId="4" fillId="45" borderId="78" xfId="0" applyNumberFormat="1" applyFont="1" applyFill="1" applyBorder="1" applyAlignment="1">
      <alignment vertical="center"/>
    </xf>
    <xf numFmtId="49" fontId="4" fillId="45" borderId="51" xfId="0" applyNumberFormat="1" applyFont="1" applyFill="1" applyBorder="1" applyAlignment="1">
      <alignment vertical="center"/>
    </xf>
    <xf numFmtId="49" fontId="4" fillId="45" borderId="79" xfId="0" applyNumberFormat="1" applyFont="1" applyFill="1" applyBorder="1" applyAlignment="1">
      <alignment vertical="center"/>
    </xf>
    <xf numFmtId="49" fontId="4" fillId="45" borderId="52" xfId="0" applyNumberFormat="1" applyFont="1" applyFill="1" applyBorder="1" applyAlignment="1">
      <alignment vertical="center"/>
    </xf>
    <xf numFmtId="49" fontId="2" fillId="45" borderId="51" xfId="0" applyNumberFormat="1" applyFont="1" applyFill="1" applyBorder="1" applyAlignment="1">
      <alignment vertical="center"/>
    </xf>
    <xf numFmtId="49" fontId="2" fillId="45" borderId="79" xfId="0" applyNumberFormat="1" applyFont="1" applyFill="1" applyBorder="1" applyAlignment="1">
      <alignment vertical="center"/>
    </xf>
    <xf numFmtId="49" fontId="2" fillId="45" borderId="52" xfId="0" applyNumberFormat="1" applyFont="1" applyFill="1" applyBorder="1" applyAlignment="1">
      <alignment vertical="center"/>
    </xf>
    <xf numFmtId="0" fontId="2" fillId="46" borderId="51" xfId="0" applyNumberFormat="1" applyFont="1" applyFill="1" applyBorder="1" applyAlignment="1">
      <alignment vertical="center"/>
    </xf>
    <xf numFmtId="0" fontId="2" fillId="46" borderId="79" xfId="0" applyNumberFormat="1" applyFont="1" applyFill="1" applyBorder="1" applyAlignment="1">
      <alignment vertical="center"/>
    </xf>
    <xf numFmtId="0" fontId="2" fillId="46" borderId="52" xfId="0" applyNumberFormat="1" applyFont="1" applyFill="1" applyBorder="1" applyAlignment="1">
      <alignment vertical="center"/>
    </xf>
    <xf numFmtId="0" fontId="2" fillId="47" borderId="51" xfId="0" applyNumberFormat="1" applyFont="1" applyFill="1" applyBorder="1" applyAlignment="1">
      <alignment vertical="center"/>
    </xf>
    <xf numFmtId="0" fontId="2" fillId="47" borderId="79" xfId="0" applyNumberFormat="1" applyFont="1" applyFill="1" applyBorder="1" applyAlignment="1">
      <alignment vertical="center"/>
    </xf>
    <xf numFmtId="0" fontId="2" fillId="47" borderId="52" xfId="0" applyNumberFormat="1" applyFont="1" applyFill="1" applyBorder="1" applyAlignment="1">
      <alignment vertical="center"/>
    </xf>
    <xf numFmtId="0" fontId="2" fillId="47" borderId="80" xfId="0" applyNumberFormat="1" applyFont="1" applyFill="1" applyBorder="1" applyAlignment="1">
      <alignment vertical="center"/>
    </xf>
    <xf numFmtId="0" fontId="2" fillId="47" borderId="81" xfId="0" applyNumberFormat="1" applyFont="1" applyFill="1" applyBorder="1" applyAlignment="1">
      <alignment vertical="center"/>
    </xf>
    <xf numFmtId="0" fontId="2" fillId="47" borderId="82" xfId="0" applyNumberFormat="1" applyFont="1" applyFill="1" applyBorder="1" applyAlignment="1">
      <alignment vertical="center"/>
    </xf>
    <xf numFmtId="0" fontId="4" fillId="45" borderId="77" xfId="0" applyNumberFormat="1" applyFont="1" applyFill="1" applyBorder="1" applyAlignment="1">
      <alignment vertical="center"/>
    </xf>
    <xf numFmtId="0" fontId="4" fillId="45" borderId="83" xfId="0" applyNumberFormat="1" applyFont="1" applyFill="1" applyBorder="1" applyAlignment="1">
      <alignment vertical="center"/>
    </xf>
    <xf numFmtId="0" fontId="4" fillId="45" borderId="79" xfId="0" applyNumberFormat="1" applyFont="1" applyFill="1" applyBorder="1" applyAlignment="1">
      <alignment vertical="center"/>
    </xf>
    <xf numFmtId="0" fontId="4" fillId="45" borderId="84" xfId="0" applyNumberFormat="1" applyFont="1" applyFill="1" applyBorder="1" applyAlignment="1">
      <alignment vertical="center"/>
    </xf>
    <xf numFmtId="0" fontId="2" fillId="45" borderId="79" xfId="0" applyNumberFormat="1" applyFont="1" applyFill="1" applyBorder="1" applyAlignment="1">
      <alignment vertical="center"/>
    </xf>
    <xf numFmtId="0" fontId="2" fillId="45" borderId="84" xfId="0" applyNumberFormat="1" applyFont="1" applyFill="1" applyBorder="1" applyAlignment="1">
      <alignment vertical="center"/>
    </xf>
    <xf numFmtId="0" fontId="2" fillId="46" borderId="84" xfId="0" applyNumberFormat="1" applyFont="1" applyFill="1" applyBorder="1" applyAlignment="1">
      <alignment vertical="center"/>
    </xf>
    <xf numFmtId="0" fontId="2" fillId="47" borderId="84" xfId="0" applyNumberFormat="1" applyFont="1" applyFill="1" applyBorder="1" applyAlignment="1">
      <alignment vertical="center"/>
    </xf>
    <xf numFmtId="0" fontId="2" fillId="47" borderId="85" xfId="0" applyNumberFormat="1" applyFont="1" applyFill="1" applyBorder="1" applyAlignment="1">
      <alignment vertical="center"/>
    </xf>
    <xf numFmtId="49" fontId="4" fillId="0" borderId="51" xfId="0" applyNumberFormat="1" applyFont="1" applyBorder="1" applyAlignment="1">
      <alignment/>
    </xf>
    <xf numFmtId="0" fontId="4" fillId="0" borderId="79" xfId="0" applyFont="1" applyBorder="1" applyAlignment="1">
      <alignment/>
    </xf>
    <xf numFmtId="0" fontId="4" fillId="0" borderId="52" xfId="0" applyFont="1" applyBorder="1" applyAlignment="1">
      <alignment/>
    </xf>
    <xf numFmtId="0" fontId="0" fillId="0" borderId="0" xfId="0" applyAlignment="1">
      <alignment/>
    </xf>
    <xf numFmtId="49" fontId="87" fillId="48" borderId="34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84" fillId="0" borderId="0" xfId="0" applyNumberFormat="1" applyFont="1" applyAlignment="1">
      <alignment/>
    </xf>
    <xf numFmtId="0" fontId="17" fillId="42" borderId="46" xfId="0" applyFont="1" applyFill="1" applyBorder="1" applyAlignment="1">
      <alignment horizontal="center" vertical="center"/>
    </xf>
    <xf numFmtId="0" fontId="2" fillId="42" borderId="50" xfId="0" applyFont="1" applyFill="1" applyBorder="1" applyAlignment="1">
      <alignment horizontal="left" vertical="center"/>
    </xf>
    <xf numFmtId="0" fontId="2" fillId="42" borderId="46" xfId="0" applyFont="1" applyFill="1" applyBorder="1" applyAlignment="1">
      <alignment horizontal="left" vertical="center"/>
    </xf>
    <xf numFmtId="0" fontId="2" fillId="42" borderId="77" xfId="53" applyFont="1" applyFill="1" applyBorder="1" applyAlignment="1">
      <alignment vertical="center"/>
      <protection/>
    </xf>
    <xf numFmtId="0" fontId="2" fillId="42" borderId="78" xfId="53" applyFont="1" applyFill="1" applyBorder="1" applyAlignment="1">
      <alignment vertical="center"/>
      <protection/>
    </xf>
    <xf numFmtId="0" fontId="2" fillId="42" borderId="79" xfId="53" applyFont="1" applyFill="1" applyBorder="1" applyAlignment="1">
      <alignment vertical="center"/>
      <protection/>
    </xf>
    <xf numFmtId="0" fontId="2" fillId="42" borderId="52" xfId="53" applyFont="1" applyFill="1" applyBorder="1" applyAlignment="1">
      <alignment vertical="center"/>
      <protection/>
    </xf>
    <xf numFmtId="0" fontId="2" fillId="43" borderId="79" xfId="53" applyFont="1" applyFill="1" applyBorder="1" applyAlignment="1">
      <alignment vertical="center"/>
      <protection/>
    </xf>
    <xf numFmtId="0" fontId="2" fillId="43" borderId="52" xfId="53" applyFont="1" applyFill="1" applyBorder="1" applyAlignment="1">
      <alignment vertical="center"/>
      <protection/>
    </xf>
    <xf numFmtId="0" fontId="2" fillId="44" borderId="79" xfId="53" applyFont="1" applyFill="1" applyBorder="1" applyAlignment="1">
      <alignment vertical="center"/>
      <protection/>
    </xf>
    <xf numFmtId="0" fontId="2" fillId="44" borderId="52" xfId="53" applyFont="1" applyFill="1" applyBorder="1" applyAlignment="1">
      <alignment vertical="center"/>
      <protection/>
    </xf>
    <xf numFmtId="0" fontId="2" fillId="44" borderId="81" xfId="53" applyFont="1" applyFill="1" applyBorder="1" applyAlignment="1">
      <alignment vertical="center"/>
      <protection/>
    </xf>
    <xf numFmtId="0" fontId="2" fillId="44" borderId="82" xfId="53" applyFont="1" applyFill="1" applyBorder="1" applyAlignment="1">
      <alignment vertical="center"/>
      <protection/>
    </xf>
    <xf numFmtId="0" fontId="2" fillId="42" borderId="47" xfId="0" applyFont="1" applyFill="1" applyBorder="1" applyAlignment="1">
      <alignment horizontal="left" vertical="center"/>
    </xf>
    <xf numFmtId="0" fontId="2" fillId="44" borderId="86" xfId="0" applyFont="1" applyFill="1" applyBorder="1" applyAlignment="1">
      <alignment horizontal="left" vertical="center"/>
    </xf>
    <xf numFmtId="0" fontId="89" fillId="0" borderId="61" xfId="0" applyFont="1" applyBorder="1" applyAlignment="1">
      <alignment horizontal="center"/>
    </xf>
    <xf numFmtId="49" fontId="71" fillId="0" borderId="0" xfId="0" applyNumberFormat="1" applyFont="1" applyFill="1" applyAlignment="1">
      <alignment horizontal="center"/>
    </xf>
    <xf numFmtId="0" fontId="2" fillId="43" borderId="81" xfId="53" applyFont="1" applyFill="1" applyBorder="1" applyAlignment="1">
      <alignment vertical="center"/>
      <protection/>
    </xf>
    <xf numFmtId="0" fontId="2" fillId="43" borderId="82" xfId="53" applyFont="1" applyFill="1" applyBorder="1" applyAlignment="1">
      <alignment vertical="center"/>
      <protection/>
    </xf>
    <xf numFmtId="0" fontId="2" fillId="42" borderId="61" xfId="0" applyFont="1" applyFill="1" applyBorder="1" applyAlignment="1">
      <alignment horizontal="left" vertical="center"/>
    </xf>
    <xf numFmtId="0" fontId="2" fillId="43" borderId="50" xfId="0" applyFont="1" applyFill="1" applyBorder="1" applyAlignment="1">
      <alignment horizontal="left" vertical="center"/>
    </xf>
    <xf numFmtId="49" fontId="2" fillId="42" borderId="46" xfId="0" applyNumberFormat="1" applyFont="1" applyFill="1" applyBorder="1" applyAlignment="1">
      <alignment horizontal="left" vertical="center"/>
    </xf>
    <xf numFmtId="0" fontId="17" fillId="43" borderId="57" xfId="0" applyFont="1" applyFill="1" applyBorder="1" applyAlignment="1">
      <alignment horizontal="center" vertical="center"/>
    </xf>
    <xf numFmtId="0" fontId="2" fillId="43" borderId="57" xfId="0" applyFont="1" applyFill="1" applyBorder="1" applyAlignment="1">
      <alignment horizontal="left" vertical="center"/>
    </xf>
    <xf numFmtId="0" fontId="2" fillId="43" borderId="80" xfId="0" applyFont="1" applyFill="1" applyBorder="1" applyAlignment="1">
      <alignment horizontal="left" vertical="center"/>
    </xf>
    <xf numFmtId="49" fontId="18" fillId="0" borderId="65" xfId="0" applyNumberFormat="1" applyFont="1" applyBorder="1" applyAlignment="1">
      <alignment horizontal="center" vertical="center"/>
    </xf>
    <xf numFmtId="1" fontId="4" fillId="0" borderId="61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164" fontId="2" fillId="0" borderId="61" xfId="0" applyNumberFormat="1" applyFont="1" applyFill="1" applyBorder="1" applyAlignment="1">
      <alignment horizontal="center" vertical="center"/>
    </xf>
    <xf numFmtId="164" fontId="2" fillId="0" borderId="74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164" fontId="2" fillId="0" borderId="57" xfId="0" applyNumberFormat="1" applyFont="1" applyFill="1" applyBorder="1" applyAlignment="1">
      <alignment horizontal="center" vertical="center"/>
    </xf>
    <xf numFmtId="166" fontId="13" fillId="0" borderId="4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91" fillId="0" borderId="13" xfId="0" applyFont="1" applyBorder="1" applyAlignment="1">
      <alignment horizontal="center" vertical="center"/>
    </xf>
    <xf numFmtId="0" fontId="91" fillId="0" borderId="44" xfId="0" applyFont="1" applyBorder="1" applyAlignment="1">
      <alignment horizontal="center" vertical="center"/>
    </xf>
    <xf numFmtId="0" fontId="91" fillId="0" borderId="44" xfId="0" applyFont="1" applyFill="1" applyBorder="1" applyAlignment="1">
      <alignment horizontal="center" vertical="center"/>
    </xf>
    <xf numFmtId="49" fontId="91" fillId="0" borderId="44" xfId="0" applyNumberFormat="1" applyFont="1" applyBorder="1" applyAlignment="1">
      <alignment horizontal="center" vertical="center"/>
    </xf>
    <xf numFmtId="0" fontId="91" fillId="0" borderId="43" xfId="0" applyFont="1" applyBorder="1" applyAlignment="1">
      <alignment horizontal="center" vertical="center"/>
    </xf>
    <xf numFmtId="49" fontId="91" fillId="0" borderId="12" xfId="0" applyNumberFormat="1" applyFont="1" applyFill="1" applyBorder="1" applyAlignment="1">
      <alignment horizontal="center" vertical="center"/>
    </xf>
    <xf numFmtId="1" fontId="92" fillId="39" borderId="50" xfId="0" applyNumberFormat="1" applyFont="1" applyFill="1" applyBorder="1" applyAlignment="1">
      <alignment horizontal="center" vertical="center"/>
    </xf>
    <xf numFmtId="0" fontId="91" fillId="0" borderId="17" xfId="0" applyFont="1" applyBorder="1" applyAlignment="1">
      <alignment vertical="center"/>
    </xf>
    <xf numFmtId="0" fontId="91" fillId="0" borderId="50" xfId="0" applyFont="1" applyBorder="1" applyAlignment="1">
      <alignment vertical="center"/>
    </xf>
    <xf numFmtId="49" fontId="91" fillId="0" borderId="50" xfId="0" applyNumberFormat="1" applyFont="1" applyFill="1" applyBorder="1" applyAlignment="1">
      <alignment horizontal="center" vertical="center"/>
    </xf>
    <xf numFmtId="1" fontId="91" fillId="0" borderId="50" xfId="0" applyNumberFormat="1" applyFont="1" applyFill="1" applyBorder="1" applyAlignment="1">
      <alignment horizontal="center" vertical="center"/>
    </xf>
    <xf numFmtId="0" fontId="91" fillId="0" borderId="50" xfId="0" applyFont="1" applyBorder="1" applyAlignment="1">
      <alignment horizontal="center" vertical="center"/>
    </xf>
    <xf numFmtId="49" fontId="91" fillId="0" borderId="50" xfId="0" applyNumberFormat="1" applyFont="1" applyBorder="1" applyAlignment="1">
      <alignment horizontal="center" vertical="center"/>
    </xf>
    <xf numFmtId="164" fontId="91" fillId="0" borderId="50" xfId="0" applyNumberFormat="1" applyFont="1" applyBorder="1" applyAlignment="1">
      <alignment horizontal="center" vertical="center"/>
    </xf>
    <xf numFmtId="164" fontId="91" fillId="0" borderId="16" xfId="0" applyNumberFormat="1" applyFont="1" applyFill="1" applyBorder="1" applyAlignment="1">
      <alignment horizontal="center" vertical="center"/>
    </xf>
    <xf numFmtId="0" fontId="91" fillId="0" borderId="19" xfId="0" applyFont="1" applyBorder="1" applyAlignment="1">
      <alignment vertical="center"/>
    </xf>
    <xf numFmtId="0" fontId="91" fillId="0" borderId="57" xfId="0" applyFont="1" applyBorder="1" applyAlignment="1">
      <alignment vertical="center"/>
    </xf>
    <xf numFmtId="49" fontId="91" fillId="0" borderId="57" xfId="0" applyNumberFormat="1" applyFont="1" applyFill="1" applyBorder="1" applyAlignment="1">
      <alignment horizontal="center" vertical="center"/>
    </xf>
    <xf numFmtId="1" fontId="92" fillId="39" borderId="57" xfId="0" applyNumberFormat="1" applyFont="1" applyFill="1" applyBorder="1" applyAlignment="1">
      <alignment horizontal="center" vertical="center"/>
    </xf>
    <xf numFmtId="1" fontId="91" fillId="0" borderId="57" xfId="0" applyNumberFormat="1" applyFont="1" applyFill="1" applyBorder="1" applyAlignment="1">
      <alignment horizontal="center" vertical="center"/>
    </xf>
    <xf numFmtId="0" fontId="91" fillId="0" borderId="57" xfId="0" applyFont="1" applyBorder="1" applyAlignment="1">
      <alignment horizontal="center" vertical="center"/>
    </xf>
    <xf numFmtId="49" fontId="91" fillId="0" borderId="57" xfId="0" applyNumberFormat="1" applyFont="1" applyBorder="1" applyAlignment="1">
      <alignment horizontal="center" vertical="center"/>
    </xf>
    <xf numFmtId="164" fontId="91" fillId="0" borderId="57" xfId="0" applyNumberFormat="1" applyFont="1" applyBorder="1" applyAlignment="1">
      <alignment horizontal="center" vertical="center"/>
    </xf>
    <xf numFmtId="164" fontId="91" fillId="0" borderId="68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3" fillId="0" borderId="0" xfId="0" applyFont="1" applyAlignment="1">
      <alignment horizontal="center"/>
    </xf>
    <xf numFmtId="49" fontId="93" fillId="0" borderId="0" xfId="0" applyNumberFormat="1" applyFont="1" applyAlignment="1">
      <alignment horizontal="center"/>
    </xf>
    <xf numFmtId="0" fontId="91" fillId="49" borderId="60" xfId="0" applyFont="1" applyFill="1" applyBorder="1" applyAlignment="1">
      <alignment vertical="center"/>
    </xf>
    <xf numFmtId="0" fontId="91" fillId="49" borderId="61" xfId="0" applyFont="1" applyFill="1" applyBorder="1" applyAlignment="1">
      <alignment vertical="center"/>
    </xf>
    <xf numFmtId="49" fontId="91" fillId="49" borderId="61" xfId="0" applyNumberFormat="1" applyFont="1" applyFill="1" applyBorder="1" applyAlignment="1">
      <alignment horizontal="center" vertical="center"/>
    </xf>
    <xf numFmtId="1" fontId="91" fillId="49" borderId="61" xfId="0" applyNumberFormat="1" applyFont="1" applyFill="1" applyBorder="1" applyAlignment="1">
      <alignment horizontal="center" vertical="center"/>
    </xf>
    <xf numFmtId="0" fontId="91" fillId="49" borderId="61" xfId="0" applyFont="1" applyFill="1" applyBorder="1" applyAlignment="1">
      <alignment horizontal="center" vertical="center"/>
    </xf>
    <xf numFmtId="164" fontId="91" fillId="49" borderId="61" xfId="0" applyNumberFormat="1" applyFont="1" applyFill="1" applyBorder="1" applyAlignment="1">
      <alignment horizontal="center" vertical="center"/>
    </xf>
    <xf numFmtId="164" fontId="91" fillId="49" borderId="74" xfId="0" applyNumberFormat="1" applyFont="1" applyFill="1" applyBorder="1" applyAlignment="1">
      <alignment horizontal="center" vertical="center"/>
    </xf>
    <xf numFmtId="0" fontId="93" fillId="49" borderId="29" xfId="0" applyNumberFormat="1" applyFont="1" applyFill="1" applyBorder="1" applyAlignment="1">
      <alignment horizontal="center"/>
    </xf>
    <xf numFmtId="0" fontId="91" fillId="49" borderId="17" xfId="0" applyFont="1" applyFill="1" applyBorder="1" applyAlignment="1">
      <alignment vertical="center"/>
    </xf>
    <xf numFmtId="0" fontId="91" fillId="49" borderId="50" xfId="0" applyFont="1" applyFill="1" applyBorder="1" applyAlignment="1">
      <alignment vertical="center"/>
    </xf>
    <xf numFmtId="49" fontId="91" fillId="49" borderId="50" xfId="0" applyNumberFormat="1" applyFont="1" applyFill="1" applyBorder="1" applyAlignment="1">
      <alignment horizontal="center" vertical="center"/>
    </xf>
    <xf numFmtId="1" fontId="91" fillId="49" borderId="50" xfId="0" applyNumberFormat="1" applyFont="1" applyFill="1" applyBorder="1" applyAlignment="1">
      <alignment horizontal="center" vertical="center"/>
    </xf>
    <xf numFmtId="0" fontId="91" fillId="49" borderId="50" xfId="0" applyFont="1" applyFill="1" applyBorder="1" applyAlignment="1">
      <alignment horizontal="center" vertical="center"/>
    </xf>
    <xf numFmtId="164" fontId="91" fillId="49" borderId="50" xfId="0" applyNumberFormat="1" applyFont="1" applyFill="1" applyBorder="1" applyAlignment="1">
      <alignment horizontal="center" vertical="center"/>
    </xf>
    <xf numFmtId="164" fontId="91" fillId="49" borderId="16" xfId="0" applyNumberFormat="1" applyFont="1" applyFill="1" applyBorder="1" applyAlignment="1">
      <alignment horizontal="center" vertical="center"/>
    </xf>
    <xf numFmtId="0" fontId="93" fillId="49" borderId="30" xfId="0" applyNumberFormat="1" applyFont="1" applyFill="1" applyBorder="1" applyAlignment="1">
      <alignment horizontal="center"/>
    </xf>
    <xf numFmtId="0" fontId="93" fillId="0" borderId="30" xfId="0" applyNumberFormat="1" applyFont="1" applyBorder="1" applyAlignment="1">
      <alignment horizontal="center"/>
    </xf>
    <xf numFmtId="0" fontId="93" fillId="0" borderId="87" xfId="0" applyNumberFormat="1" applyFont="1" applyBorder="1" applyAlignment="1">
      <alignment horizontal="center"/>
    </xf>
    <xf numFmtId="0" fontId="0" fillId="0" borderId="0" xfId="0" applyAlignment="1">
      <alignment/>
    </xf>
    <xf numFmtId="0" fontId="91" fillId="49" borderId="46" xfId="0" applyFont="1" applyFill="1" applyBorder="1" applyAlignment="1">
      <alignment vertical="center"/>
    </xf>
    <xf numFmtId="0" fontId="91" fillId="0" borderId="88" xfId="0" applyFont="1" applyBorder="1" applyAlignment="1">
      <alignment vertical="center"/>
    </xf>
    <xf numFmtId="165" fontId="11" fillId="41" borderId="40" xfId="0" applyNumberFormat="1" applyFont="1" applyFill="1" applyBorder="1" applyAlignment="1">
      <alignment horizontal="center" wrapText="1"/>
    </xf>
    <xf numFmtId="49" fontId="95" fillId="49" borderId="50" xfId="0" applyNumberFormat="1" applyFont="1" applyFill="1" applyBorder="1" applyAlignment="1">
      <alignment wrapText="1"/>
    </xf>
    <xf numFmtId="0" fontId="12" fillId="0" borderId="89" xfId="0" applyFont="1" applyFill="1" applyBorder="1" applyAlignment="1">
      <alignment horizontal="center"/>
    </xf>
    <xf numFmtId="0" fontId="11" fillId="0" borderId="89" xfId="0" applyNumberFormat="1" applyFont="1" applyFill="1" applyBorder="1" applyAlignment="1">
      <alignment horizontal="center" wrapText="1"/>
    </xf>
    <xf numFmtId="49" fontId="2" fillId="0" borderId="76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83" xfId="0" applyNumberFormat="1" applyFont="1" applyFill="1" applyBorder="1" applyAlignment="1">
      <alignment horizontal="center" vertical="center"/>
    </xf>
    <xf numFmtId="49" fontId="2" fillId="0" borderId="84" xfId="0" applyNumberFormat="1" applyFont="1" applyFill="1" applyBorder="1" applyAlignment="1">
      <alignment horizontal="center" vertical="center"/>
    </xf>
    <xf numFmtId="0" fontId="2" fillId="0" borderId="84" xfId="0" applyNumberFormat="1" applyFont="1" applyFill="1" applyBorder="1" applyAlignment="1">
      <alignment horizontal="center" vertical="center"/>
    </xf>
    <xf numFmtId="1" fontId="0" fillId="0" borderId="48" xfId="0" applyNumberFormat="1" applyFill="1" applyBorder="1" applyAlignment="1">
      <alignment horizontal="center"/>
    </xf>
    <xf numFmtId="1" fontId="0" fillId="0" borderId="87" xfId="0" applyNumberFormat="1" applyFill="1" applyBorder="1" applyAlignment="1">
      <alignment horizontal="center"/>
    </xf>
    <xf numFmtId="0" fontId="90" fillId="0" borderId="0" xfId="0" applyFont="1" applyAlignment="1">
      <alignment/>
    </xf>
    <xf numFmtId="49" fontId="2" fillId="50" borderId="50" xfId="0" applyNumberFormat="1" applyFont="1" applyFill="1" applyBorder="1" applyAlignment="1">
      <alignment horizontal="center" vertical="center"/>
    </xf>
    <xf numFmtId="49" fontId="2" fillId="50" borderId="57" xfId="0" applyNumberFormat="1" applyFont="1" applyFill="1" applyBorder="1" applyAlignment="1">
      <alignment horizontal="center" vertical="center"/>
    </xf>
    <xf numFmtId="1" fontId="7" fillId="50" borderId="61" xfId="0" applyNumberFormat="1" applyFont="1" applyFill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2" fillId="0" borderId="62" xfId="0" applyFont="1" applyFill="1" applyBorder="1" applyAlignment="1">
      <alignment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59" xfId="0" applyNumberFormat="1" applyFont="1" applyFill="1" applyBorder="1" applyAlignment="1">
      <alignment horizontal="center" vertical="center"/>
    </xf>
    <xf numFmtId="165" fontId="11" fillId="34" borderId="40" xfId="0" applyNumberFormat="1" applyFont="1" applyFill="1" applyBorder="1" applyAlignment="1">
      <alignment horizontal="center" wrapText="1"/>
    </xf>
    <xf numFmtId="49" fontId="87" fillId="0" borderId="0" xfId="0" applyNumberFormat="1" applyFont="1" applyFill="1" applyBorder="1" applyAlignment="1">
      <alignment horizontal="center"/>
    </xf>
    <xf numFmtId="0" fontId="87" fillId="0" borderId="0" xfId="0" applyFont="1" applyFill="1" applyBorder="1" applyAlignment="1">
      <alignment horizontal="right" vertical="center" wrapText="1"/>
    </xf>
    <xf numFmtId="49" fontId="8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" fontId="0" fillId="0" borderId="29" xfId="0" applyNumberFormat="1" applyFill="1" applyBorder="1" applyAlignment="1">
      <alignment horizontal="center"/>
    </xf>
    <xf numFmtId="0" fontId="0" fillId="0" borderId="0" xfId="0" applyAlignment="1">
      <alignment/>
    </xf>
    <xf numFmtId="0" fontId="96" fillId="0" borderId="0" xfId="0" applyFont="1" applyFill="1" applyBorder="1" applyAlignment="1">
      <alignment vertical="center"/>
    </xf>
    <xf numFmtId="0" fontId="91" fillId="0" borderId="17" xfId="0" applyFont="1" applyFill="1" applyBorder="1" applyAlignment="1">
      <alignment vertical="center"/>
    </xf>
    <xf numFmtId="0" fontId="91" fillId="0" borderId="46" xfId="0" applyFont="1" applyFill="1" applyBorder="1" applyAlignment="1">
      <alignment vertical="center"/>
    </xf>
    <xf numFmtId="0" fontId="91" fillId="0" borderId="50" xfId="0" applyFont="1" applyFill="1" applyBorder="1" applyAlignment="1">
      <alignment horizontal="center" vertical="center"/>
    </xf>
    <xf numFmtId="164" fontId="91" fillId="0" borderId="50" xfId="0" applyNumberFormat="1" applyFont="1" applyFill="1" applyBorder="1" applyAlignment="1">
      <alignment horizontal="center" vertical="center"/>
    </xf>
    <xf numFmtId="49" fontId="93" fillId="0" borderId="30" xfId="0" applyNumberFormat="1" applyFont="1" applyFill="1" applyBorder="1" applyAlignment="1">
      <alignment horizontal="center"/>
    </xf>
    <xf numFmtId="49" fontId="93" fillId="0" borderId="30" xfId="0" applyNumberFormat="1" applyFont="1" applyBorder="1" applyAlignment="1">
      <alignment horizontal="center"/>
    </xf>
    <xf numFmtId="49" fontId="93" fillId="0" borderId="87" xfId="0" applyNumberFormat="1" applyFont="1" applyBorder="1" applyAlignment="1">
      <alignment horizontal="center"/>
    </xf>
    <xf numFmtId="49" fontId="91" fillId="0" borderId="57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86" fillId="0" borderId="90" xfId="0" applyFont="1" applyBorder="1" applyAlignment="1">
      <alignment horizontal="center" vertical="top" wrapText="1"/>
    </xf>
    <xf numFmtId="0" fontId="86" fillId="0" borderId="91" xfId="0" applyFont="1" applyBorder="1" applyAlignment="1">
      <alignment horizontal="center" vertical="top" wrapText="1"/>
    </xf>
    <xf numFmtId="0" fontId="86" fillId="0" borderId="83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3" fillId="0" borderId="36" xfId="0" applyFont="1" applyFill="1" applyBorder="1" applyAlignment="1">
      <alignment wrapText="1"/>
    </xf>
    <xf numFmtId="0" fontId="0" fillId="0" borderId="0" xfId="0" applyAlignment="1">
      <alignment/>
    </xf>
    <xf numFmtId="164" fontId="91" fillId="49" borderId="18" xfId="0" applyNumberFormat="1" applyFont="1" applyFill="1" applyBorder="1" applyAlignment="1">
      <alignment horizontal="center" vertical="center"/>
    </xf>
    <xf numFmtId="164" fontId="91" fillId="0" borderId="20" xfId="0" applyNumberFormat="1" applyFont="1" applyFill="1" applyBorder="1" applyAlignment="1">
      <alignment horizontal="center" vertical="center"/>
    </xf>
    <xf numFmtId="0" fontId="93" fillId="0" borderId="87" xfId="0" applyNumberFormat="1" applyFont="1" applyFill="1" applyBorder="1" applyAlignment="1">
      <alignment horizontal="center"/>
    </xf>
    <xf numFmtId="0" fontId="91" fillId="34" borderId="60" xfId="0" applyFont="1" applyFill="1" applyBorder="1" applyAlignment="1">
      <alignment vertical="center"/>
    </xf>
    <xf numFmtId="49" fontId="91" fillId="34" borderId="61" xfId="0" applyNumberFormat="1" applyFont="1" applyFill="1" applyBorder="1" applyAlignment="1">
      <alignment horizontal="center" vertical="center"/>
    </xf>
    <xf numFmtId="1" fontId="91" fillId="34" borderId="61" xfId="0" applyNumberFormat="1" applyFont="1" applyFill="1" applyBorder="1" applyAlignment="1">
      <alignment horizontal="center" vertical="center"/>
    </xf>
    <xf numFmtId="0" fontId="91" fillId="34" borderId="61" xfId="0" applyFont="1" applyFill="1" applyBorder="1" applyAlignment="1">
      <alignment horizontal="center" vertical="center"/>
    </xf>
    <xf numFmtId="164" fontId="91" fillId="34" borderId="61" xfId="0" applyNumberFormat="1" applyFont="1" applyFill="1" applyBorder="1" applyAlignment="1">
      <alignment horizontal="center" vertical="center"/>
    </xf>
    <xf numFmtId="164" fontId="91" fillId="34" borderId="74" xfId="0" applyNumberFormat="1" applyFont="1" applyFill="1" applyBorder="1" applyAlignment="1">
      <alignment horizontal="center" vertical="center"/>
    </xf>
    <xf numFmtId="0" fontId="93" fillId="34" borderId="29" xfId="0" applyNumberFormat="1" applyFont="1" applyFill="1" applyBorder="1" applyAlignment="1">
      <alignment horizontal="center"/>
    </xf>
    <xf numFmtId="0" fontId="91" fillId="12" borderId="17" xfId="0" applyFont="1" applyFill="1" applyBorder="1" applyAlignment="1">
      <alignment vertical="center"/>
    </xf>
    <xf numFmtId="49" fontId="91" fillId="12" borderId="50" xfId="0" applyNumberFormat="1" applyFont="1" applyFill="1" applyBorder="1" applyAlignment="1">
      <alignment horizontal="center" vertical="center"/>
    </xf>
    <xf numFmtId="1" fontId="91" fillId="12" borderId="50" xfId="0" applyNumberFormat="1" applyFont="1" applyFill="1" applyBorder="1" applyAlignment="1">
      <alignment horizontal="center" vertical="center"/>
    </xf>
    <xf numFmtId="0" fontId="91" fillId="12" borderId="50" xfId="0" applyFont="1" applyFill="1" applyBorder="1" applyAlignment="1">
      <alignment horizontal="center" vertical="center"/>
    </xf>
    <xf numFmtId="164" fontId="91" fillId="12" borderId="50" xfId="0" applyNumberFormat="1" applyFont="1" applyFill="1" applyBorder="1" applyAlignment="1">
      <alignment horizontal="center" vertical="center"/>
    </xf>
    <xf numFmtId="164" fontId="91" fillId="12" borderId="18" xfId="0" applyNumberFormat="1" applyFont="1" applyFill="1" applyBorder="1" applyAlignment="1">
      <alignment horizontal="center" vertical="center"/>
    </xf>
    <xf numFmtId="0" fontId="93" fillId="12" borderId="29" xfId="0" applyNumberFormat="1" applyFont="1" applyFill="1" applyBorder="1" applyAlignment="1">
      <alignment horizontal="center"/>
    </xf>
    <xf numFmtId="0" fontId="97" fillId="34" borderId="61" xfId="0" applyFont="1" applyFill="1" applyBorder="1" applyAlignment="1">
      <alignment vertical="center"/>
    </xf>
    <xf numFmtId="0" fontId="97" fillId="49" borderId="50" xfId="0" applyFont="1" applyFill="1" applyBorder="1" applyAlignment="1">
      <alignment vertical="center"/>
    </xf>
    <xf numFmtId="0" fontId="97" fillId="12" borderId="46" xfId="0" applyFont="1" applyFill="1" applyBorder="1" applyAlignment="1">
      <alignment vertical="center"/>
    </xf>
    <xf numFmtId="0" fontId="12" fillId="34" borderId="39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1" fillId="34" borderId="10" xfId="0" applyNumberFormat="1" applyFont="1" applyFill="1" applyBorder="1" applyAlignment="1">
      <alignment horizontal="center" wrapText="1"/>
    </xf>
    <xf numFmtId="0" fontId="12" fillId="34" borderId="10" xfId="0" applyNumberFormat="1" applyFont="1" applyFill="1" applyBorder="1" applyAlignment="1">
      <alignment horizontal="center"/>
    </xf>
    <xf numFmtId="0" fontId="12" fillId="41" borderId="39" xfId="0" applyFont="1" applyFill="1" applyBorder="1" applyAlignment="1">
      <alignment horizontal="center"/>
    </xf>
    <xf numFmtId="0" fontId="12" fillId="41" borderId="10" xfId="0" applyFont="1" applyFill="1" applyBorder="1" applyAlignment="1">
      <alignment horizontal="center"/>
    </xf>
    <xf numFmtId="0" fontId="11" fillId="41" borderId="10" xfId="0" applyNumberFormat="1" applyFont="1" applyFill="1" applyBorder="1" applyAlignment="1">
      <alignment horizontal="center" wrapText="1"/>
    </xf>
    <xf numFmtId="0" fontId="12" fillId="41" borderId="10" xfId="0" applyNumberFormat="1" applyFont="1" applyFill="1" applyBorder="1" applyAlignment="1">
      <alignment horizontal="center"/>
    </xf>
    <xf numFmtId="0" fontId="12" fillId="35" borderId="39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1" fillId="35" borderId="10" xfId="0" applyNumberFormat="1" applyFont="1" applyFill="1" applyBorder="1" applyAlignment="1">
      <alignment horizontal="center" wrapText="1"/>
    </xf>
    <xf numFmtId="165" fontId="11" fillId="35" borderId="40" xfId="0" applyNumberFormat="1" applyFont="1" applyFill="1" applyBorder="1" applyAlignment="1">
      <alignment horizontal="center" wrapText="1"/>
    </xf>
    <xf numFmtId="0" fontId="12" fillId="35" borderId="10" xfId="0" applyNumberFormat="1" applyFont="1" applyFill="1" applyBorder="1" applyAlignment="1">
      <alignment horizontal="center"/>
    </xf>
    <xf numFmtId="165" fontId="11" fillId="40" borderId="4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13" fillId="34" borderId="50" xfId="0" applyFont="1" applyFill="1" applyBorder="1" applyAlignment="1">
      <alignment/>
    </xf>
    <xf numFmtId="0" fontId="98" fillId="0" borderId="50" xfId="0" applyFont="1" applyBorder="1" applyAlignment="1">
      <alignment/>
    </xf>
    <xf numFmtId="0" fontId="13" fillId="0" borderId="50" xfId="0" applyFont="1" applyFill="1" applyBorder="1" applyAlignment="1">
      <alignment/>
    </xf>
    <xf numFmtId="0" fontId="11" fillId="0" borderId="50" xfId="0" applyFont="1" applyFill="1" applyBorder="1" applyAlignment="1">
      <alignment wrapText="1"/>
    </xf>
    <xf numFmtId="0" fontId="13" fillId="0" borderId="50" xfId="0" applyFont="1" applyFill="1" applyBorder="1" applyAlignment="1">
      <alignment wrapText="1"/>
    </xf>
    <xf numFmtId="49" fontId="11" fillId="0" borderId="50" xfId="0" applyNumberFormat="1" applyFont="1" applyFill="1" applyBorder="1" applyAlignment="1">
      <alignment wrapText="1"/>
    </xf>
    <xf numFmtId="0" fontId="0" fillId="0" borderId="50" xfId="0" applyBorder="1" applyAlignment="1">
      <alignment/>
    </xf>
    <xf numFmtId="0" fontId="0" fillId="34" borderId="50" xfId="0" applyFill="1" applyBorder="1" applyAlignment="1">
      <alignment/>
    </xf>
    <xf numFmtId="0" fontId="98" fillId="34" borderId="50" xfId="0" applyFont="1" applyFill="1" applyBorder="1" applyAlignment="1">
      <alignment/>
    </xf>
    <xf numFmtId="0" fontId="0" fillId="49" borderId="50" xfId="0" applyFill="1" applyBorder="1" applyAlignment="1">
      <alignment/>
    </xf>
    <xf numFmtId="0" fontId="13" fillId="49" borderId="50" xfId="0" applyFont="1" applyFill="1" applyBorder="1" applyAlignment="1">
      <alignment/>
    </xf>
    <xf numFmtId="0" fontId="98" fillId="49" borderId="50" xfId="0" applyFont="1" applyFill="1" applyBorder="1" applyAlignment="1">
      <alignment/>
    </xf>
    <xf numFmtId="0" fontId="0" fillId="41" borderId="50" xfId="0" applyFill="1" applyBorder="1" applyAlignment="1">
      <alignment/>
    </xf>
    <xf numFmtId="0" fontId="13" fillId="41" borderId="50" xfId="0" applyFont="1" applyFill="1" applyBorder="1" applyAlignment="1">
      <alignment/>
    </xf>
    <xf numFmtId="0" fontId="98" fillId="41" borderId="50" xfId="0" applyFont="1" applyFill="1" applyBorder="1" applyAlignment="1">
      <alignment/>
    </xf>
    <xf numFmtId="0" fontId="0" fillId="0" borderId="50" xfId="0" applyFill="1" applyBorder="1" applyAlignment="1">
      <alignment/>
    </xf>
    <xf numFmtId="0" fontId="98" fillId="0" borderId="50" xfId="0" applyFont="1" applyFill="1" applyBorder="1" applyAlignment="1">
      <alignment/>
    </xf>
    <xf numFmtId="0" fontId="84" fillId="0" borderId="50" xfId="0" applyFont="1" applyBorder="1" applyAlignment="1">
      <alignment/>
    </xf>
    <xf numFmtId="0" fontId="0" fillId="0" borderId="0" xfId="0" applyAlignment="1">
      <alignment/>
    </xf>
    <xf numFmtId="1" fontId="89" fillId="0" borderId="48" xfId="0" applyNumberFormat="1" applyFont="1" applyFill="1" applyBorder="1" applyAlignment="1">
      <alignment horizontal="center"/>
    </xf>
    <xf numFmtId="1" fontId="89" fillId="0" borderId="87" xfId="0" applyNumberFormat="1" applyFont="1" applyFill="1" applyBorder="1" applyAlignment="1">
      <alignment horizontal="center"/>
    </xf>
    <xf numFmtId="0" fontId="99" fillId="0" borderId="57" xfId="0" applyFont="1" applyBorder="1" applyAlignment="1">
      <alignment/>
    </xf>
    <xf numFmtId="0" fontId="5" fillId="0" borderId="61" xfId="0" applyFont="1" applyFill="1" applyBorder="1" applyAlignment="1">
      <alignment vertical="center"/>
    </xf>
    <xf numFmtId="49" fontId="2" fillId="0" borderId="61" xfId="0" applyNumberFormat="1" applyFont="1" applyFill="1" applyBorder="1" applyAlignment="1">
      <alignment horizontal="left" vertical="center"/>
    </xf>
    <xf numFmtId="49" fontId="2" fillId="0" borderId="57" xfId="0" applyNumberFormat="1" applyFont="1" applyFill="1" applyBorder="1" applyAlignment="1">
      <alignment horizontal="left" vertical="center"/>
    </xf>
    <xf numFmtId="0" fontId="2" fillId="43" borderId="51" xfId="0" applyFont="1" applyFill="1" applyBorder="1" applyAlignment="1">
      <alignment horizontal="left" vertical="center"/>
    </xf>
    <xf numFmtId="0" fontId="2" fillId="42" borderId="76" xfId="0" applyFont="1" applyFill="1" applyBorder="1" applyAlignment="1">
      <alignment horizontal="left" vertical="center"/>
    </xf>
    <xf numFmtId="0" fontId="2" fillId="42" borderId="51" xfId="0" applyFont="1" applyFill="1" applyBorder="1" applyAlignment="1">
      <alignment horizontal="left" vertical="center"/>
    </xf>
    <xf numFmtId="0" fontId="2" fillId="44" borderId="51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89" fillId="0" borderId="0" xfId="0" applyFont="1" applyAlignment="1">
      <alignment/>
    </xf>
    <xf numFmtId="0" fontId="0" fillId="0" borderId="0" xfId="0" applyAlignment="1">
      <alignment/>
    </xf>
    <xf numFmtId="0" fontId="2" fillId="0" borderId="50" xfId="0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/>
    </xf>
    <xf numFmtId="1" fontId="89" fillId="0" borderId="50" xfId="0" applyNumberFormat="1" applyFont="1" applyFill="1" applyBorder="1" applyAlignment="1">
      <alignment horizontal="center"/>
    </xf>
    <xf numFmtId="1" fontId="89" fillId="0" borderId="61" xfId="0" applyNumberFormat="1" applyFont="1" applyFill="1" applyBorder="1" applyAlignment="1">
      <alignment horizontal="center"/>
    </xf>
    <xf numFmtId="1" fontId="0" fillId="0" borderId="74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89" fillId="0" borderId="57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0" fontId="100" fillId="0" borderId="0" xfId="0" applyFont="1" applyAlignment="1">
      <alignment/>
    </xf>
    <xf numFmtId="0" fontId="2" fillId="0" borderId="92" xfId="0" applyNumberFormat="1" applyFont="1" applyFill="1" applyBorder="1" applyAlignment="1">
      <alignment horizontal="center" vertical="center"/>
    </xf>
    <xf numFmtId="49" fontId="2" fillId="0" borderId="80" xfId="0" applyNumberFormat="1" applyFont="1" applyFill="1" applyBorder="1" applyAlignment="1">
      <alignment horizontal="center" vertical="center"/>
    </xf>
    <xf numFmtId="49" fontId="2" fillId="0" borderId="85" xfId="0" applyNumberFormat="1" applyFont="1" applyFill="1" applyBorder="1" applyAlignment="1">
      <alignment horizontal="center" vertical="center"/>
    </xf>
    <xf numFmtId="0" fontId="101" fillId="0" borderId="93" xfId="0" applyFont="1" applyBorder="1" applyAlignment="1">
      <alignment/>
    </xf>
    <xf numFmtId="0" fontId="4" fillId="45" borderId="78" xfId="0" applyNumberFormat="1" applyFont="1" applyFill="1" applyBorder="1" applyAlignment="1">
      <alignment vertical="center"/>
    </xf>
    <xf numFmtId="0" fontId="4" fillId="45" borderId="52" xfId="0" applyNumberFormat="1" applyFont="1" applyFill="1" applyBorder="1" applyAlignment="1">
      <alignment vertical="center"/>
    </xf>
    <xf numFmtId="0" fontId="2" fillId="45" borderId="52" xfId="0" applyNumberFormat="1" applyFont="1" applyFill="1" applyBorder="1" applyAlignment="1">
      <alignment vertical="center"/>
    </xf>
    <xf numFmtId="164" fontId="5" fillId="0" borderId="63" xfId="0" applyNumberFormat="1" applyFont="1" applyBorder="1" applyAlignment="1">
      <alignment horizontal="center" vertical="center"/>
    </xf>
    <xf numFmtId="164" fontId="5" fillId="0" borderId="94" xfId="0" applyNumberFormat="1" applyFont="1" applyBorder="1" applyAlignment="1">
      <alignment horizontal="center" vertical="center"/>
    </xf>
    <xf numFmtId="164" fontId="5" fillId="0" borderId="64" xfId="0" applyNumberFormat="1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48" xfId="0" applyBorder="1" applyAlignment="1">
      <alignment horizontal="center"/>
    </xf>
    <xf numFmtId="164" fontId="1" fillId="0" borderId="31" xfId="0" applyNumberFormat="1" applyFont="1" applyBorder="1" applyAlignment="1">
      <alignment horizontal="center" vertical="center"/>
    </xf>
    <xf numFmtId="0" fontId="11" fillId="51" borderId="35" xfId="0" applyFont="1" applyFill="1" applyBorder="1" applyAlignment="1">
      <alignment wrapText="1"/>
    </xf>
    <xf numFmtId="0" fontId="13" fillId="51" borderId="35" xfId="0" applyFont="1" applyFill="1" applyBorder="1" applyAlignment="1">
      <alignment/>
    </xf>
    <xf numFmtId="0" fontId="13" fillId="51" borderId="39" xfId="0" applyNumberFormat="1" applyFont="1" applyFill="1" applyBorder="1" applyAlignment="1">
      <alignment horizontal="center" wrapText="1"/>
    </xf>
    <xf numFmtId="0" fontId="13" fillId="51" borderId="10" xfId="0" applyNumberFormat="1" applyFont="1" applyFill="1" applyBorder="1" applyAlignment="1">
      <alignment horizontal="center" wrapText="1"/>
    </xf>
    <xf numFmtId="1" fontId="13" fillId="51" borderId="10" xfId="0" applyNumberFormat="1" applyFont="1" applyFill="1" applyBorder="1" applyAlignment="1">
      <alignment horizontal="center" wrapText="1"/>
    </xf>
    <xf numFmtId="166" fontId="13" fillId="51" borderId="40" xfId="0" applyNumberFormat="1" applyFont="1" applyFill="1" applyBorder="1" applyAlignment="1">
      <alignment horizontal="center" wrapText="1"/>
    </xf>
    <xf numFmtId="0" fontId="12" fillId="51" borderId="39" xfId="0" applyFont="1" applyFill="1" applyBorder="1" applyAlignment="1">
      <alignment horizontal="center"/>
    </xf>
    <xf numFmtId="0" fontId="12" fillId="51" borderId="10" xfId="0" applyFont="1" applyFill="1" applyBorder="1" applyAlignment="1">
      <alignment horizontal="center"/>
    </xf>
    <xf numFmtId="0" fontId="12" fillId="51" borderId="10" xfId="0" applyNumberFormat="1" applyFont="1" applyFill="1" applyBorder="1" applyAlignment="1">
      <alignment horizontal="center"/>
    </xf>
    <xf numFmtId="165" fontId="11" fillId="51" borderId="40" xfId="0" applyNumberFormat="1" applyFont="1" applyFill="1" applyBorder="1" applyAlignment="1">
      <alignment horizontal="center" wrapText="1"/>
    </xf>
    <xf numFmtId="0" fontId="11" fillId="51" borderId="10" xfId="0" applyNumberFormat="1" applyFont="1" applyFill="1" applyBorder="1" applyAlignment="1">
      <alignment horizontal="center" wrapText="1"/>
    </xf>
    <xf numFmtId="49" fontId="13" fillId="51" borderId="4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49" fontId="2" fillId="42" borderId="76" xfId="0" applyNumberFormat="1" applyFont="1" applyFill="1" applyBorder="1" applyAlignment="1">
      <alignment horizontal="left" vertical="center"/>
    </xf>
    <xf numFmtId="49" fontId="2" fillId="42" borderId="51" xfId="0" applyNumberFormat="1" applyFont="1" applyFill="1" applyBorder="1" applyAlignment="1">
      <alignment horizontal="left" vertical="center"/>
    </xf>
    <xf numFmtId="0" fontId="19" fillId="45" borderId="51" xfId="0" applyNumberFormat="1" applyFont="1" applyFill="1" applyBorder="1" applyAlignment="1">
      <alignment vertical="center"/>
    </xf>
    <xf numFmtId="49" fontId="19" fillId="45" borderId="51" xfId="0" applyNumberFormat="1" applyFont="1" applyFill="1" applyBorder="1" applyAlignment="1">
      <alignment vertical="center"/>
    </xf>
    <xf numFmtId="49" fontId="4" fillId="0" borderId="74" xfId="0" applyNumberFormat="1" applyFont="1" applyBorder="1" applyAlignment="1">
      <alignment horizontal="center"/>
    </xf>
    <xf numFmtId="0" fontId="0" fillId="52" borderId="0" xfId="0" applyFill="1" applyAlignment="1">
      <alignment/>
    </xf>
    <xf numFmtId="0" fontId="102" fillId="53" borderId="95" xfId="0" applyFont="1" applyFill="1" applyBorder="1" applyAlignment="1">
      <alignment wrapText="1"/>
    </xf>
    <xf numFmtId="0" fontId="102" fillId="37" borderId="34" xfId="0" applyFont="1" applyFill="1" applyBorder="1" applyAlignment="1">
      <alignment horizontal="center" wrapText="1"/>
    </xf>
    <xf numFmtId="0" fontId="0" fillId="52" borderId="96" xfId="0" applyFill="1" applyBorder="1" applyAlignment="1">
      <alignment/>
    </xf>
    <xf numFmtId="0" fontId="0" fillId="52" borderId="97" xfId="0" applyFill="1" applyBorder="1" applyAlignment="1">
      <alignment/>
    </xf>
    <xf numFmtId="0" fontId="0" fillId="52" borderId="98" xfId="0" applyFill="1" applyBorder="1" applyAlignment="1">
      <alignment/>
    </xf>
    <xf numFmtId="0" fontId="102" fillId="53" borderId="99" xfId="0" applyFont="1" applyFill="1" applyBorder="1" applyAlignment="1">
      <alignment wrapText="1"/>
    </xf>
    <xf numFmtId="0" fontId="102" fillId="53" borderId="100" xfId="0" applyFont="1" applyFill="1" applyBorder="1" applyAlignment="1">
      <alignment wrapText="1"/>
    </xf>
    <xf numFmtId="0" fontId="0" fillId="52" borderId="0" xfId="0" applyFill="1" applyAlignment="1">
      <alignment horizontal="center"/>
    </xf>
    <xf numFmtId="0" fontId="102" fillId="38" borderId="34" xfId="0" applyFont="1" applyFill="1" applyBorder="1" applyAlignment="1">
      <alignment horizontal="center" wrapText="1"/>
    </xf>
    <xf numFmtId="0" fontId="102" fillId="53" borderId="99" xfId="0" applyFont="1" applyFill="1" applyBorder="1" applyAlignment="1">
      <alignment horizontal="center" wrapText="1"/>
    </xf>
    <xf numFmtId="0" fontId="102" fillId="53" borderId="100" xfId="0" applyFont="1" applyFill="1" applyBorder="1" applyAlignment="1">
      <alignment horizontal="center" wrapText="1"/>
    </xf>
    <xf numFmtId="0" fontId="87" fillId="38" borderId="34" xfId="0" applyFont="1" applyFill="1" applyBorder="1" applyAlignment="1">
      <alignment wrapText="1"/>
    </xf>
    <xf numFmtId="0" fontId="87" fillId="54" borderId="34" xfId="0" applyFont="1" applyFill="1" applyBorder="1" applyAlignment="1">
      <alignment wrapText="1"/>
    </xf>
    <xf numFmtId="49" fontId="87" fillId="54" borderId="34" xfId="0" applyNumberFormat="1" applyFont="1" applyFill="1" applyBorder="1" applyAlignment="1">
      <alignment horizontal="center"/>
    </xf>
    <xf numFmtId="0" fontId="87" fillId="34" borderId="34" xfId="0" applyFont="1" applyFill="1" applyBorder="1" applyAlignment="1">
      <alignment wrapText="1"/>
    </xf>
    <xf numFmtId="49" fontId="87" fillId="34" borderId="34" xfId="0" applyNumberFormat="1" applyFont="1" applyFill="1" applyBorder="1" applyAlignment="1">
      <alignment horizontal="center"/>
    </xf>
    <xf numFmtId="0" fontId="102" fillId="34" borderId="34" xfId="0" applyFont="1" applyFill="1" applyBorder="1" applyAlignment="1">
      <alignment horizontal="center" wrapText="1"/>
    </xf>
    <xf numFmtId="0" fontId="102" fillId="54" borderId="34" xfId="0" applyFont="1" applyFill="1" applyBorder="1" applyAlignment="1">
      <alignment horizontal="center" wrapText="1"/>
    </xf>
    <xf numFmtId="0" fontId="102" fillId="53" borderId="95" xfId="0" applyFont="1" applyFill="1" applyBorder="1" applyAlignment="1">
      <alignment horizontal="center" wrapText="1"/>
    </xf>
    <xf numFmtId="49" fontId="5" fillId="42" borderId="76" xfId="0" applyNumberFormat="1" applyFont="1" applyFill="1" applyBorder="1" applyAlignment="1">
      <alignment horizontal="left" vertical="center"/>
    </xf>
    <xf numFmtId="49" fontId="5" fillId="42" borderId="51" xfId="0" applyNumberFormat="1" applyFont="1" applyFill="1" applyBorder="1" applyAlignment="1">
      <alignment horizontal="left" vertical="center"/>
    </xf>
    <xf numFmtId="49" fontId="5" fillId="42" borderId="50" xfId="0" applyNumberFormat="1" applyFont="1" applyFill="1" applyBorder="1" applyAlignment="1">
      <alignment horizontal="left" vertical="center"/>
    </xf>
    <xf numFmtId="49" fontId="2" fillId="42" borderId="61" xfId="0" applyNumberFormat="1" applyFont="1" applyFill="1" applyBorder="1" applyAlignment="1">
      <alignment horizontal="left" vertical="center"/>
    </xf>
    <xf numFmtId="49" fontId="2" fillId="43" borderId="51" xfId="0" applyNumberFormat="1" applyFont="1" applyFill="1" applyBorder="1" applyAlignment="1">
      <alignment horizontal="left" vertical="center"/>
    </xf>
    <xf numFmtId="49" fontId="11" fillId="0" borderId="35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40" borderId="60" xfId="0" applyFont="1" applyFill="1" applyBorder="1" applyAlignment="1">
      <alignment vertical="center"/>
    </xf>
    <xf numFmtId="0" fontId="5" fillId="40" borderId="61" xfId="0" applyFont="1" applyFill="1" applyBorder="1" applyAlignment="1">
      <alignment vertical="center"/>
    </xf>
    <xf numFmtId="0" fontId="5" fillId="40" borderId="17" xfId="0" applyFont="1" applyFill="1" applyBorder="1" applyAlignment="1">
      <alignment vertical="center"/>
    </xf>
    <xf numFmtId="0" fontId="5" fillId="40" borderId="50" xfId="0" applyFont="1" applyFill="1" applyBorder="1" applyAlignment="1">
      <alignment vertical="center"/>
    </xf>
    <xf numFmtId="49" fontId="2" fillId="40" borderId="61" xfId="0" applyNumberFormat="1" applyFont="1" applyFill="1" applyBorder="1" applyAlignment="1">
      <alignment horizontal="center" vertical="center"/>
    </xf>
    <xf numFmtId="0" fontId="2" fillId="40" borderId="60" xfId="0" applyNumberFormat="1" applyFont="1" applyFill="1" applyBorder="1" applyAlignment="1">
      <alignment horizontal="center" vertical="center"/>
    </xf>
    <xf numFmtId="0" fontId="2" fillId="40" borderId="61" xfId="0" applyNumberFormat="1" applyFont="1" applyFill="1" applyBorder="1" applyAlignment="1">
      <alignment horizontal="center" vertical="center"/>
    </xf>
    <xf numFmtId="49" fontId="2" fillId="40" borderId="76" xfId="0" applyNumberFormat="1" applyFont="1" applyFill="1" applyBorder="1" applyAlignment="1">
      <alignment horizontal="center" vertical="center"/>
    </xf>
    <xf numFmtId="49" fontId="2" fillId="40" borderId="50" xfId="0" applyNumberFormat="1" applyFont="1" applyFill="1" applyBorder="1" applyAlignment="1">
      <alignment horizontal="center" vertical="center"/>
    </xf>
    <xf numFmtId="0" fontId="2" fillId="40" borderId="17" xfId="0" applyNumberFormat="1" applyFont="1" applyFill="1" applyBorder="1" applyAlignment="1">
      <alignment horizontal="center" vertical="center"/>
    </xf>
    <xf numFmtId="0" fontId="2" fillId="40" borderId="50" xfId="0" applyNumberFormat="1" applyFont="1" applyFill="1" applyBorder="1" applyAlignment="1">
      <alignment horizontal="center" vertical="center"/>
    </xf>
    <xf numFmtId="49" fontId="2" fillId="40" borderId="51" xfId="0" applyNumberFormat="1" applyFont="1" applyFill="1" applyBorder="1" applyAlignment="1">
      <alignment horizontal="center" vertical="center"/>
    </xf>
    <xf numFmtId="0" fontId="2" fillId="40" borderId="84" xfId="0" applyNumberFormat="1" applyFont="1" applyFill="1" applyBorder="1" applyAlignment="1">
      <alignment horizontal="center" vertical="center"/>
    </xf>
    <xf numFmtId="0" fontId="2" fillId="40" borderId="83" xfId="0" applyNumberFormat="1" applyFont="1" applyFill="1" applyBorder="1" applyAlignment="1">
      <alignment horizontal="center" vertical="center"/>
    </xf>
    <xf numFmtId="49" fontId="12" fillId="51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1" fontId="12" fillId="51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1" fillId="0" borderId="101" xfId="0" applyFont="1" applyFill="1" applyBorder="1" applyAlignment="1">
      <alignment wrapText="1"/>
    </xf>
    <xf numFmtId="0" fontId="90" fillId="0" borderId="0" xfId="0" applyNumberFormat="1" applyFont="1" applyAlignment="1">
      <alignment/>
    </xf>
    <xf numFmtId="0" fontId="102" fillId="55" borderId="34" xfId="0" applyFont="1" applyFill="1" applyBorder="1" applyAlignment="1">
      <alignment horizontal="right" wrapText="1"/>
    </xf>
    <xf numFmtId="0" fontId="102" fillId="38" borderId="34" xfId="0" applyFont="1" applyFill="1" applyBorder="1" applyAlignment="1">
      <alignment horizontal="right" wrapText="1"/>
    </xf>
    <xf numFmtId="0" fontId="102" fillId="55" borderId="34" xfId="0" applyFont="1" applyFill="1" applyBorder="1" applyAlignment="1">
      <alignment horizontal="center" wrapText="1"/>
    </xf>
    <xf numFmtId="49" fontId="102" fillId="53" borderId="99" xfId="0" applyNumberFormat="1" applyFont="1" applyFill="1" applyBorder="1" applyAlignment="1">
      <alignment wrapText="1"/>
    </xf>
    <xf numFmtId="49" fontId="102" fillId="37" borderId="34" xfId="0" applyNumberFormat="1" applyFont="1" applyFill="1" applyBorder="1" applyAlignment="1">
      <alignment horizontal="center" wrapText="1"/>
    </xf>
    <xf numFmtId="49" fontId="102" fillId="55" borderId="34" xfId="0" applyNumberFormat="1" applyFont="1" applyFill="1" applyBorder="1" applyAlignment="1">
      <alignment horizontal="center" wrapText="1"/>
    </xf>
    <xf numFmtId="49" fontId="102" fillId="38" borderId="34" xfId="0" applyNumberFormat="1" applyFont="1" applyFill="1" applyBorder="1" applyAlignment="1">
      <alignment horizontal="center" wrapText="1"/>
    </xf>
    <xf numFmtId="49" fontId="102" fillId="53" borderId="99" xfId="0" applyNumberFormat="1" applyFont="1" applyFill="1" applyBorder="1" applyAlignment="1">
      <alignment horizontal="center" wrapText="1"/>
    </xf>
    <xf numFmtId="0" fontId="87" fillId="51" borderId="0" xfId="0" applyNumberFormat="1" applyFont="1" applyFill="1" applyBorder="1" applyAlignment="1">
      <alignment wrapText="1"/>
    </xf>
    <xf numFmtId="0" fontId="102" fillId="51" borderId="0" xfId="0" applyNumberFormat="1" applyFont="1" applyFill="1" applyBorder="1" applyAlignment="1">
      <alignment wrapText="1"/>
    </xf>
    <xf numFmtId="0" fontId="87" fillId="55" borderId="34" xfId="0" applyFont="1" applyFill="1" applyBorder="1" applyAlignment="1">
      <alignment wrapText="1"/>
    </xf>
    <xf numFmtId="0" fontId="0" fillId="0" borderId="0" xfId="0" applyFont="1" applyAlignment="1">
      <alignment/>
    </xf>
    <xf numFmtId="164" fontId="2" fillId="0" borderId="29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13" fillId="51" borderId="36" xfId="0" applyFont="1" applyFill="1" applyBorder="1" applyAlignment="1">
      <alignment wrapText="1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9" fillId="0" borderId="3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33" borderId="7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72" xfId="0" applyFont="1" applyFill="1" applyBorder="1" applyAlignment="1">
      <alignment horizontal="center" vertical="center" wrapText="1"/>
    </xf>
    <xf numFmtId="0" fontId="11" fillId="33" borderId="102" xfId="0" applyFont="1" applyFill="1" applyBorder="1" applyAlignment="1">
      <alignment horizontal="center" vertical="center" wrapText="1"/>
    </xf>
    <xf numFmtId="0" fontId="11" fillId="33" borderId="103" xfId="0" applyFont="1" applyFill="1" applyBorder="1" applyAlignment="1">
      <alignment horizontal="center" vertical="center" wrapText="1"/>
    </xf>
    <xf numFmtId="0" fontId="11" fillId="33" borderId="42" xfId="0" applyFont="1" applyFill="1" applyBorder="1" applyAlignment="1">
      <alignment horizontal="center" vertical="center" wrapText="1"/>
    </xf>
    <xf numFmtId="0" fontId="88" fillId="33" borderId="104" xfId="0" applyFont="1" applyFill="1" applyBorder="1" applyAlignment="1">
      <alignment horizontal="center" vertical="center"/>
    </xf>
    <xf numFmtId="0" fontId="88" fillId="33" borderId="37" xfId="0" applyFont="1" applyFill="1" applyBorder="1" applyAlignment="1">
      <alignment horizontal="center" vertical="center"/>
    </xf>
    <xf numFmtId="0" fontId="88" fillId="33" borderId="38" xfId="0" applyFont="1" applyFill="1" applyBorder="1" applyAlignment="1">
      <alignment horizontal="center" vertical="center"/>
    </xf>
    <xf numFmtId="0" fontId="3" fillId="42" borderId="89" xfId="0" applyFont="1" applyFill="1" applyBorder="1" applyAlignment="1">
      <alignment horizontal="center" vertical="center"/>
    </xf>
    <xf numFmtId="0" fontId="2" fillId="42" borderId="76" xfId="0" applyFont="1" applyFill="1" applyBorder="1" applyAlignment="1">
      <alignment horizontal="left" vertical="center"/>
    </xf>
    <xf numFmtId="0" fontId="2" fillId="42" borderId="77" xfId="0" applyFont="1" applyFill="1" applyBorder="1" applyAlignment="1">
      <alignment horizontal="left" vertical="center"/>
    </xf>
    <xf numFmtId="0" fontId="2" fillId="42" borderId="78" xfId="0" applyFont="1" applyFill="1" applyBorder="1" applyAlignment="1">
      <alignment horizontal="left" vertical="center"/>
    </xf>
    <xf numFmtId="49" fontId="2" fillId="42" borderId="51" xfId="0" applyNumberFormat="1" applyFont="1" applyFill="1" applyBorder="1" applyAlignment="1">
      <alignment horizontal="left" vertical="center"/>
    </xf>
    <xf numFmtId="0" fontId="2" fillId="42" borderId="79" xfId="0" applyFont="1" applyFill="1" applyBorder="1" applyAlignment="1">
      <alignment horizontal="left" vertical="center"/>
    </xf>
    <xf numFmtId="0" fontId="2" fillId="42" borderId="52" xfId="0" applyFont="1" applyFill="1" applyBorder="1" applyAlignment="1">
      <alignment horizontal="left" vertical="center"/>
    </xf>
    <xf numFmtId="49" fontId="2" fillId="43" borderId="51" xfId="0" applyNumberFormat="1" applyFont="1" applyFill="1" applyBorder="1" applyAlignment="1">
      <alignment horizontal="left" vertical="center"/>
    </xf>
    <xf numFmtId="0" fontId="2" fillId="43" borderId="79" xfId="0" applyFont="1" applyFill="1" applyBorder="1" applyAlignment="1">
      <alignment horizontal="left" vertical="center"/>
    </xf>
    <xf numFmtId="0" fontId="2" fillId="43" borderId="52" xfId="0" applyFont="1" applyFill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14" fontId="71" fillId="0" borderId="0" xfId="0" applyNumberFormat="1" applyFont="1" applyAlignment="1">
      <alignment horizontal="center"/>
    </xf>
    <xf numFmtId="0" fontId="71" fillId="0" borderId="0" xfId="0" applyFont="1" applyAlignment="1">
      <alignment horizontal="center"/>
    </xf>
    <xf numFmtId="0" fontId="71" fillId="0" borderId="0" xfId="0" applyNumberFormat="1" applyFont="1" applyAlignment="1">
      <alignment horizontal="center"/>
    </xf>
    <xf numFmtId="0" fontId="87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42" borderId="51" xfId="0" applyFont="1" applyFill="1" applyBorder="1" applyAlignment="1">
      <alignment horizontal="left" vertical="center"/>
    </xf>
    <xf numFmtId="49" fontId="2" fillId="43" borderId="76" xfId="0" applyNumberFormat="1" applyFont="1" applyFill="1" applyBorder="1" applyAlignment="1">
      <alignment horizontal="left" vertical="center"/>
    </xf>
    <xf numFmtId="49" fontId="2" fillId="43" borderId="77" xfId="0" applyNumberFormat="1" applyFont="1" applyFill="1" applyBorder="1" applyAlignment="1">
      <alignment horizontal="left" vertical="center"/>
    </xf>
    <xf numFmtId="49" fontId="2" fillId="43" borderId="78" xfId="0" applyNumberFormat="1" applyFont="1" applyFill="1" applyBorder="1" applyAlignment="1">
      <alignment horizontal="left" vertical="center"/>
    </xf>
    <xf numFmtId="0" fontId="2" fillId="43" borderId="51" xfId="0" applyFont="1" applyFill="1" applyBorder="1" applyAlignment="1">
      <alignment horizontal="left" vertical="center"/>
    </xf>
    <xf numFmtId="0" fontId="2" fillId="44" borderId="51" xfId="0" applyFont="1" applyFill="1" applyBorder="1" applyAlignment="1">
      <alignment horizontal="left" vertical="center"/>
    </xf>
    <xf numFmtId="0" fontId="2" fillId="44" borderId="79" xfId="0" applyFont="1" applyFill="1" applyBorder="1" applyAlignment="1">
      <alignment horizontal="left" vertical="center"/>
    </xf>
    <xf numFmtId="0" fontId="2" fillId="44" borderId="52" xfId="0" applyFont="1" applyFill="1" applyBorder="1" applyAlignment="1">
      <alignment horizontal="left" vertical="center"/>
    </xf>
    <xf numFmtId="0" fontId="2" fillId="44" borderId="80" xfId="0" applyFont="1" applyFill="1" applyBorder="1" applyAlignment="1">
      <alignment horizontal="left" vertical="center"/>
    </xf>
    <xf numFmtId="0" fontId="2" fillId="44" borderId="81" xfId="0" applyFont="1" applyFill="1" applyBorder="1" applyAlignment="1">
      <alignment horizontal="left" vertical="center"/>
    </xf>
    <xf numFmtId="0" fontId="2" fillId="44" borderId="82" xfId="0" applyFont="1" applyFill="1" applyBorder="1" applyAlignment="1">
      <alignment horizontal="left" vertical="center"/>
    </xf>
    <xf numFmtId="0" fontId="103" fillId="0" borderId="0" xfId="0" applyFont="1" applyAlignment="1">
      <alignment horizontal="center" wrapText="1"/>
    </xf>
    <xf numFmtId="0" fontId="104" fillId="0" borderId="0" xfId="0" applyFont="1" applyAlignment="1">
      <alignment vertical="top" wrapText="1"/>
    </xf>
    <xf numFmtId="0" fontId="0" fillId="36" borderId="0" xfId="0" applyFill="1" applyAlignment="1">
      <alignment vertical="top" wrapText="1"/>
    </xf>
    <xf numFmtId="0" fontId="105" fillId="0" borderId="0" xfId="0" applyFont="1" applyAlignment="1">
      <alignment vertical="top" wrapText="1"/>
    </xf>
    <xf numFmtId="0" fontId="106" fillId="0" borderId="0" xfId="0" applyFont="1" applyAlignment="1">
      <alignment horizontal="center" vertical="top" wrapText="1"/>
    </xf>
    <xf numFmtId="0" fontId="86" fillId="0" borderId="0" xfId="0" applyFont="1" applyAlignment="1">
      <alignment vertical="top" wrapText="1"/>
    </xf>
    <xf numFmtId="0" fontId="86" fillId="0" borderId="106" xfId="0" applyFont="1" applyBorder="1" applyAlignment="1">
      <alignment vertical="top" wrapText="1"/>
    </xf>
    <xf numFmtId="0" fontId="0" fillId="36" borderId="107" xfId="0" applyFill="1" applyBorder="1" applyAlignment="1">
      <alignment vertical="top" wrapText="1"/>
    </xf>
    <xf numFmtId="0" fontId="107" fillId="0" borderId="0" xfId="0" applyFont="1" applyAlignment="1">
      <alignment vertical="top" wrapText="1"/>
    </xf>
    <xf numFmtId="0" fontId="0" fillId="0" borderId="0" xfId="0" applyAlignment="1">
      <alignment/>
    </xf>
    <xf numFmtId="49" fontId="108" fillId="0" borderId="0" xfId="0" applyNumberFormat="1" applyFont="1" applyAlignment="1">
      <alignment horizontal="left" vertical="top" wrapText="1"/>
    </xf>
    <xf numFmtId="0" fontId="109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N18" sqref="AN18"/>
    </sheetView>
  </sheetViews>
  <sheetFormatPr defaultColWidth="9.140625" defaultRowHeight="15" outlineLevelCol="1"/>
  <cols>
    <col min="1" max="1" width="5.421875" style="8" customWidth="1"/>
    <col min="2" max="2" width="37.00390625" style="8" customWidth="1"/>
    <col min="3" max="7" width="10.140625" style="8" hidden="1" customWidth="1" outlineLevel="1"/>
    <col min="8" max="8" width="10.140625" style="142" customWidth="1" collapsed="1"/>
    <col min="9" max="10" width="10.7109375" style="18" hidden="1" customWidth="1" outlineLevel="1"/>
    <col min="11" max="13" width="10.7109375" style="19" hidden="1" customWidth="1" outlineLevel="1"/>
    <col min="14" max="14" width="10.7109375" style="19" hidden="1" customWidth="1" collapsed="1"/>
    <col min="15" max="18" width="10.7109375" style="19" hidden="1" customWidth="1" outlineLevel="1"/>
    <col min="19" max="19" width="4.7109375" style="19" hidden="1" customWidth="1" outlineLevel="1"/>
    <col min="20" max="20" width="10.7109375" style="19" customWidth="1" collapsed="1"/>
    <col min="21" max="25" width="10.140625" style="8" hidden="1" customWidth="1" outlineLevel="1"/>
    <col min="26" max="26" width="10.140625" style="8" customWidth="1" collapsed="1"/>
    <col min="27" max="31" width="10.140625" style="8" hidden="1" customWidth="1" outlineLevel="1"/>
    <col min="32" max="32" width="10.00390625" style="8" customWidth="1" collapsed="1"/>
    <col min="33" max="34" width="10.7109375" style="18" hidden="1" customWidth="1"/>
    <col min="35" max="36" width="10.7109375" style="19" hidden="1" customWidth="1"/>
    <col min="37" max="37" width="11.28125" style="19" hidden="1" customWidth="1"/>
    <col min="38" max="38" width="2.140625" style="19" hidden="1" customWidth="1"/>
    <col min="39" max="39" width="10.7109375" style="18" customWidth="1"/>
    <col min="40" max="16384" width="9.140625" style="8" customWidth="1"/>
  </cols>
  <sheetData>
    <row r="1" spans="1:39" ht="21" thickBot="1">
      <c r="A1" s="575" t="s">
        <v>665</v>
      </c>
      <c r="B1" s="575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  <c r="AA1" s="576"/>
      <c r="AB1" s="576"/>
      <c r="AC1" s="576"/>
      <c r="AD1" s="576"/>
      <c r="AE1" s="576"/>
      <c r="AF1" s="576"/>
      <c r="AG1" s="576"/>
      <c r="AH1" s="576"/>
      <c r="AI1" s="576"/>
      <c r="AJ1" s="576"/>
      <c r="AK1" s="576"/>
      <c r="AL1" s="576"/>
      <c r="AM1" s="576"/>
    </row>
    <row r="2" spans="1:39" ht="6" customHeight="1" thickBot="1" thickTop="1">
      <c r="A2" s="577" t="s">
        <v>70</v>
      </c>
      <c r="B2" s="579" t="s">
        <v>71</v>
      </c>
      <c r="C2" s="583" t="s">
        <v>666</v>
      </c>
      <c r="D2" s="584"/>
      <c r="E2" s="584"/>
      <c r="F2" s="584"/>
      <c r="G2" s="61"/>
      <c r="H2" s="140"/>
      <c r="I2" s="583" t="s">
        <v>72</v>
      </c>
      <c r="J2" s="584"/>
      <c r="K2" s="584"/>
      <c r="L2" s="584"/>
      <c r="M2" s="61"/>
      <c r="N2" s="137"/>
      <c r="O2" s="583" t="s">
        <v>771</v>
      </c>
      <c r="P2" s="584"/>
      <c r="Q2" s="584"/>
      <c r="R2" s="584"/>
      <c r="S2" s="61"/>
      <c r="T2" s="62"/>
      <c r="U2" s="583" t="s">
        <v>233</v>
      </c>
      <c r="V2" s="584"/>
      <c r="W2" s="584"/>
      <c r="X2" s="584"/>
      <c r="Y2" s="61"/>
      <c r="Z2" s="62"/>
      <c r="AA2" s="583"/>
      <c r="AB2" s="584"/>
      <c r="AC2" s="584"/>
      <c r="AD2" s="584"/>
      <c r="AE2" s="584"/>
      <c r="AF2" s="585"/>
      <c r="AG2" s="583" t="s">
        <v>412</v>
      </c>
      <c r="AH2" s="584"/>
      <c r="AI2" s="584"/>
      <c r="AJ2" s="584"/>
      <c r="AK2" s="61"/>
      <c r="AL2" s="62"/>
      <c r="AM2" s="581" t="s">
        <v>73</v>
      </c>
    </row>
    <row r="3" spans="1:39" ht="33.75" customHeight="1" thickBot="1">
      <c r="A3" s="578"/>
      <c r="B3" s="580"/>
      <c r="C3" s="63" t="s">
        <v>76</v>
      </c>
      <c r="D3" s="9" t="s">
        <v>74</v>
      </c>
      <c r="E3" s="10" t="s">
        <v>97</v>
      </c>
      <c r="F3" s="10" t="s">
        <v>77</v>
      </c>
      <c r="G3" s="10" t="s">
        <v>75</v>
      </c>
      <c r="H3" s="141" t="s">
        <v>230</v>
      </c>
      <c r="I3" s="63" t="s">
        <v>76</v>
      </c>
      <c r="J3" s="9" t="s">
        <v>74</v>
      </c>
      <c r="K3" s="10" t="s">
        <v>97</v>
      </c>
      <c r="L3" s="10" t="s">
        <v>77</v>
      </c>
      <c r="M3" s="10" t="s">
        <v>75</v>
      </c>
      <c r="N3" s="64" t="s">
        <v>231</v>
      </c>
      <c r="O3" s="63" t="s">
        <v>76</v>
      </c>
      <c r="P3" s="9" t="s">
        <v>74</v>
      </c>
      <c r="Q3" s="10" t="s">
        <v>97</v>
      </c>
      <c r="R3" s="10" t="s">
        <v>77</v>
      </c>
      <c r="S3" s="10" t="s">
        <v>75</v>
      </c>
      <c r="T3" s="64" t="s">
        <v>772</v>
      </c>
      <c r="U3" s="63" t="s">
        <v>76</v>
      </c>
      <c r="V3" s="9" t="s">
        <v>74</v>
      </c>
      <c r="W3" s="10" t="s">
        <v>97</v>
      </c>
      <c r="X3" s="10" t="s">
        <v>77</v>
      </c>
      <c r="Y3" s="10" t="s">
        <v>75</v>
      </c>
      <c r="Z3" s="64" t="s">
        <v>234</v>
      </c>
      <c r="AA3" s="63" t="s">
        <v>76</v>
      </c>
      <c r="AB3" s="9" t="s">
        <v>74</v>
      </c>
      <c r="AC3" s="10" t="s">
        <v>97</v>
      </c>
      <c r="AD3" s="10" t="s">
        <v>77</v>
      </c>
      <c r="AE3" s="10" t="s">
        <v>75</v>
      </c>
      <c r="AF3" s="141" t="s">
        <v>231</v>
      </c>
      <c r="AG3" s="63" t="s">
        <v>76</v>
      </c>
      <c r="AH3" s="9" t="s">
        <v>74</v>
      </c>
      <c r="AI3" s="10" t="s">
        <v>97</v>
      </c>
      <c r="AJ3" s="10" t="s">
        <v>77</v>
      </c>
      <c r="AK3" s="10" t="s">
        <v>75</v>
      </c>
      <c r="AL3" s="64" t="s">
        <v>414</v>
      </c>
      <c r="AM3" s="582"/>
    </row>
    <row r="4" spans="1:45" ht="13.5" thickBot="1">
      <c r="A4" s="11">
        <v>1</v>
      </c>
      <c r="B4" s="486" t="s">
        <v>124</v>
      </c>
      <c r="C4" s="488" t="str">
        <f>VLOOKUP(B4,'Профи-Опен'!$P$60:$AC$75,14,0)</f>
        <v>5-8</v>
      </c>
      <c r="D4" s="489">
        <f>VLOOKUP(C4,Очки!$A$2:$B$84,2,0)</f>
        <v>29</v>
      </c>
      <c r="E4" s="490">
        <f>VLOOKUP(B4,'Профи-Опен'!$C$19:$V$56,10,0)+VLOOKUP(B4,'Профи-Опен'!$P$60:$AC$75,4,0)</f>
        <v>9</v>
      </c>
      <c r="F4" s="490">
        <f>VLOOKUP(B4,'Профи-Опен'!$C$19:$V$56,19,0)+VLOOKUP(B4,'Профи-Опен'!$P$60:$AC$75,13,0)</f>
        <v>14</v>
      </c>
      <c r="G4" s="489">
        <f aca="true" t="shared" si="0" ref="G4:G26">ROUND(10*F4/(E4*2),1)</f>
        <v>7.8</v>
      </c>
      <c r="H4" s="491">
        <f aca="true" t="shared" si="1" ref="H4:H26">D4+G4</f>
        <v>36.8</v>
      </c>
      <c r="I4" s="66" t="e">
        <f>VLOOKUP(B4,ФФП!#REF!,19,FALSE)</f>
        <v>#REF!</v>
      </c>
      <c r="J4" s="16" t="e">
        <f>VLOOKUP(I4,Очки!$A$2:$B$83,2,0)</f>
        <v>#REF!</v>
      </c>
      <c r="K4" s="16" t="e">
        <f>VLOOKUP($B4,ФФП!$C$7:$V$52,11,0)+VLOOKUP($B4,ФФП!#REF!,11,0)</f>
        <v>#REF!</v>
      </c>
      <c r="L4" s="16" t="e">
        <f>VLOOKUP($B4,ФФП!$C$7:$V$52,10,0)+VLOOKUP($B4,ФФП!#REF!,10,0)</f>
        <v>#REF!</v>
      </c>
      <c r="M4" s="51" t="e">
        <f aca="true" t="shared" si="2" ref="M4:M9">ROUND(((20-$M$2+K4)*L4/(K4*3)/2),1)</f>
        <v>#REF!</v>
      </c>
      <c r="N4" s="138" t="e">
        <f aca="true" t="shared" si="3" ref="N4:N23">J4+M4</f>
        <v>#REF!</v>
      </c>
      <c r="O4" s="492">
        <f>VLOOKUP(B4,Предвидение!$C$13:$V$50,20,0)</f>
        <v>32</v>
      </c>
      <c r="P4" s="489">
        <f>VLOOKUP(O4,Очки!$A$2:$B$84,2,0)</f>
        <v>1</v>
      </c>
      <c r="Q4" s="494">
        <f>VLOOKUP(B4,Предвидение!$C$13:$V$50,10,0)</f>
        <v>7</v>
      </c>
      <c r="R4" s="494">
        <f>VLOOKUP(B4,Предвидение!$C$13:$V$50,19,0)</f>
        <v>6</v>
      </c>
      <c r="S4" s="489">
        <f aca="true" t="shared" si="4" ref="S4:S17">ROUND(10*R4/(Q4*2),1)</f>
        <v>4.3</v>
      </c>
      <c r="T4" s="495">
        <f aca="true" t="shared" si="5" ref="T4:T33">P4+S4</f>
        <v>5.3</v>
      </c>
      <c r="U4" s="492">
        <f>VLOOKUP(B4,Торпедо!$C$27:$U$56,19,0)</f>
        <v>20</v>
      </c>
      <c r="V4" s="489">
        <f>VLOOKUP(U4,Очки!$A$2:$B$84,2,0)</f>
        <v>13</v>
      </c>
      <c r="W4" s="548">
        <f>VLOOKUP($B4,Торпедо!$C$27:$U$56,10,0)</f>
        <v>5</v>
      </c>
      <c r="X4" s="494">
        <f>VLOOKUP($B4,Торпедо!$C$27:$U$56,18,0)</f>
        <v>8</v>
      </c>
      <c r="Y4" s="489">
        <f>ROUND(10*X4/(W4*2),1)</f>
        <v>8</v>
      </c>
      <c r="Z4" s="495">
        <f aca="true" t="shared" si="6" ref="Z4:Z9">V4+Y4</f>
        <v>21</v>
      </c>
      <c r="AA4" s="65" t="str">
        <f>VLOOKUP(B4,ФФП!$C$64:$L$93,10,0)</f>
        <v>5-8</v>
      </c>
      <c r="AB4" s="489">
        <f>VLOOKUP(AA4,Очки!$A$2:$B$84,2,0)</f>
        <v>29</v>
      </c>
      <c r="AC4" s="56">
        <f>VLOOKUP(B4,ФФП!$C$7:$W$52,13,0)+1+VLOOKUP(B4,ФФП!$C$64:$L$93,3,0)</f>
        <v>12</v>
      </c>
      <c r="AD4" s="56">
        <f>VLOOKUP(B4,ФФП!$C$7:$W$52,12,0)+1+VLOOKUP(B4,ФФП!$C$64:$L$93,4,0)*2+VLOOKUP(B4,ФФП!$C$64:$L$93,5,0)</f>
        <v>15</v>
      </c>
      <c r="AE4" s="489">
        <f aca="true" t="shared" si="7" ref="AE4:AE23">ROUND(10*AD4/(AC4*2),1)</f>
        <v>6.3</v>
      </c>
      <c r="AF4" s="299">
        <f aca="true" t="shared" si="8" ref="AF4:AF23">AB4+AE4</f>
        <v>35.3</v>
      </c>
      <c r="AG4" s="66" t="str">
        <f>VLOOKUP(B4,Форвард!$C$50:$Q$71,15,FALSE)</f>
        <v>9-12</v>
      </c>
      <c r="AH4" s="16">
        <f>VLOOKUP(AG4,Очки!$A$2:$B$83,2,0)</f>
        <v>22.5</v>
      </c>
      <c r="AI4" s="15">
        <f>VLOOKUP(B4,Форвард!$C$6:$Q$45,6,FALSE)+VLOOKUP(B4,Форвард!$C$50:$Q$71,6,FALSE)</f>
        <v>12</v>
      </c>
      <c r="AJ4" s="15">
        <f>VLOOKUP(B4,Форвард!$C$6:$Q$45,14,FALSE)+VLOOKUP(B4,Форвард!$C$50:$Q$71,14,FALSE)</f>
        <v>22</v>
      </c>
      <c r="AK4" s="51">
        <f aca="true" t="shared" si="9" ref="AK4:AK9">ROUND(((20-$AK$2+AI4)*AJ4/(AI4*3)/2),1)</f>
        <v>9.8</v>
      </c>
      <c r="AL4" s="138">
        <f aca="true" t="shared" si="10" ref="AL4:AL9">AH4+AK4</f>
        <v>32.3</v>
      </c>
      <c r="AM4" s="69">
        <f aca="true" t="shared" si="11" ref="AM4:AM35">H4+Z4+T4+AF4</f>
        <v>98.39999999999999</v>
      </c>
      <c r="AN4" s="12"/>
      <c r="AO4" s="12"/>
      <c r="AP4" s="12"/>
      <c r="AQ4" s="12"/>
      <c r="AR4" s="12"/>
      <c r="AS4" s="12"/>
    </row>
    <row r="5" spans="1:45" ht="13.5" thickBot="1">
      <c r="A5" s="178">
        <v>2</v>
      </c>
      <c r="B5" s="57" t="s">
        <v>306</v>
      </c>
      <c r="C5" s="488" t="str">
        <f>VLOOKUP(B5,'Профи-Опен'!$P$60:$AC$75,14,0)</f>
        <v>5-8</v>
      </c>
      <c r="D5" s="489">
        <f>VLOOKUP(C5,Очки!$A$2:$B$84,2,0)</f>
        <v>29</v>
      </c>
      <c r="E5" s="490">
        <f>VLOOKUP(B5,'Профи-Опен'!$C$19:$V$56,10,0)+VLOOKUP(B5,'Профи-Опен'!$P$60:$AC$75,4,0)</f>
        <v>9</v>
      </c>
      <c r="F5" s="490">
        <f>VLOOKUP(B5,'Профи-Опен'!$C$19:$V$56,19,0)+VLOOKUP(B5,'Профи-Опен'!$P$60:$AC$75,13,0)</f>
        <v>14</v>
      </c>
      <c r="G5" s="489">
        <f t="shared" si="0"/>
        <v>7.8</v>
      </c>
      <c r="H5" s="491">
        <f t="shared" si="1"/>
        <v>36.8</v>
      </c>
      <c r="I5" s="66" t="e">
        <f>VLOOKUP(B5,ФФП!#REF!,23,FALSE)</f>
        <v>#REF!</v>
      </c>
      <c r="J5" s="16" t="e">
        <f>VLOOKUP(I5,Очки!$A$2:$B$83,2,0)</f>
        <v>#REF!</v>
      </c>
      <c r="K5" s="16" t="e">
        <f>VLOOKUP($B5,ФФП!$C$7:$V$52,11,0)+VLOOKUP($B5,ФФП!#REF!,11,0)+VLOOKUP($B5,ФФП!#REF!,15,0)</f>
        <v>#REF!</v>
      </c>
      <c r="L5" s="16" t="e">
        <f>VLOOKUP($B5,ФФП!$C$7:$V$52,10,0)+VLOOKUP($B5,ФФП!#REF!,10,0)+VLOOKUP($B5,ФФП!#REF!,14,0)</f>
        <v>#REF!</v>
      </c>
      <c r="M5" s="51" t="e">
        <f t="shared" si="2"/>
        <v>#REF!</v>
      </c>
      <c r="N5" s="138" t="e">
        <f t="shared" si="3"/>
        <v>#REF!</v>
      </c>
      <c r="O5" s="492">
        <f>VLOOKUP(B5,Предвидение!$C$13:$V$50,20,0)</f>
        <v>16</v>
      </c>
      <c r="P5" s="489">
        <f>VLOOKUP(O5,Очки!$A$2:$B$84,2,0)</f>
        <v>17</v>
      </c>
      <c r="Q5" s="494">
        <f>VLOOKUP(B5,Предвидение!$C$13:$V$50,10,0)</f>
        <v>7</v>
      </c>
      <c r="R5" s="494">
        <f>VLOOKUP(B5,Предвидение!$C$13:$V$50,19,0)</f>
        <v>9</v>
      </c>
      <c r="S5" s="489">
        <f t="shared" si="4"/>
        <v>6.4</v>
      </c>
      <c r="T5" s="495">
        <f t="shared" si="5"/>
        <v>23.4</v>
      </c>
      <c r="U5" s="492" t="str">
        <f>VLOOKUP(B5,Торпедо!$C$27:$U$56,19,0)</f>
        <v>24-27</v>
      </c>
      <c r="V5" s="489">
        <f>VLOOKUP(U5,Очки!$A$2:$B$84,2,0)</f>
        <v>7.5</v>
      </c>
      <c r="W5" s="548">
        <f>VLOOKUP($B5,Торпедо!$C$27:$U$56,10,0)</f>
        <v>5</v>
      </c>
      <c r="X5" s="494">
        <f>VLOOKUP($B5,Торпедо!$C$27:$U$56,18,0)</f>
        <v>2</v>
      </c>
      <c r="Y5" s="489">
        <f>ROUND(10*X5/(W5*2),1)</f>
        <v>2</v>
      </c>
      <c r="Z5" s="495">
        <f t="shared" si="6"/>
        <v>9.5</v>
      </c>
      <c r="AA5" s="65" t="str">
        <f>VLOOKUP(B5,ФФП!$C$64:$L$93,10,0)</f>
        <v>9-16</v>
      </c>
      <c r="AB5" s="489">
        <f>VLOOKUP(AA5,Очки!$A$2:$B$84,2,0)</f>
        <v>20.5</v>
      </c>
      <c r="AC5" s="56">
        <f>VLOOKUP(B5,ФФП!$C$7:$W$52,13,0)+VLOOKUP(B5,ФФП!$C$64:$L$93,3,0)</f>
        <v>11</v>
      </c>
      <c r="AD5" s="56">
        <f>VLOOKUP(B5,ФФП!$C$7:$W$52,12,0)+VLOOKUP(B5,ФФП!$C$64:$L$93,4,0)*2+VLOOKUP(B5,ФФП!$C$64:$L$93,5,0)</f>
        <v>12</v>
      </c>
      <c r="AE5" s="489">
        <f t="shared" si="7"/>
        <v>5.5</v>
      </c>
      <c r="AF5" s="299">
        <f t="shared" si="8"/>
        <v>26</v>
      </c>
      <c r="AG5" s="66" t="str">
        <f>VLOOKUP(B5,Форвард!$C$6:$Q$45,15,FALSE)</f>
        <v>22-28</v>
      </c>
      <c r="AH5" s="16">
        <f>VLOOKUP(AG5,Очки!$A$2:$B$83,2,0)</f>
        <v>8</v>
      </c>
      <c r="AI5" s="15">
        <f>VLOOKUP(B5,Форвард!$C$6:$Q$45,6,FALSE)</f>
        <v>6</v>
      </c>
      <c r="AJ5" s="15">
        <f>VLOOKUP(B5,Форвард!$C$6:$Q$45,14,FALSE)</f>
        <v>6</v>
      </c>
      <c r="AK5" s="51">
        <f t="shared" si="9"/>
        <v>4.3</v>
      </c>
      <c r="AL5" s="428">
        <f t="shared" si="10"/>
        <v>12.3</v>
      </c>
      <c r="AM5" s="69">
        <f t="shared" si="11"/>
        <v>95.69999999999999</v>
      </c>
      <c r="AN5" s="12"/>
      <c r="AO5" s="12"/>
      <c r="AP5" s="12"/>
      <c r="AR5" s="12"/>
      <c r="AS5" s="12"/>
    </row>
    <row r="6" spans="1:45" ht="13.5" thickBot="1">
      <c r="A6" s="13">
        <v>3</v>
      </c>
      <c r="B6" s="57" t="s">
        <v>20</v>
      </c>
      <c r="C6" s="488">
        <f>VLOOKUP(B6,'Профи-Опен'!$C$19:$V$56,20,0)</f>
        <v>23</v>
      </c>
      <c r="D6" s="489">
        <f>VLOOKUP(C6,Очки!$A$2:$B$84,2,0)</f>
        <v>10</v>
      </c>
      <c r="E6" s="490">
        <f>VLOOKUP(B6,'Профи-Опен'!$C$19:$V$56,10,0)</f>
        <v>7</v>
      </c>
      <c r="F6" s="490">
        <f>VLOOKUP(B6,'Профи-Опен'!$C$19:$V$56,19,0)</f>
        <v>6</v>
      </c>
      <c r="G6" s="489">
        <f t="shared" si="0"/>
        <v>4.3</v>
      </c>
      <c r="H6" s="491">
        <f t="shared" si="1"/>
        <v>14.3</v>
      </c>
      <c r="I6" s="66" t="str">
        <f>VLOOKUP(B6,ФФП!$C$7:$V$52,19,FALSE)</f>
        <v> 263</v>
      </c>
      <c r="J6" s="16" t="e">
        <f>VLOOKUP(I6,Очки!$A$2:$B$83,2,0)</f>
        <v>#N/A</v>
      </c>
      <c r="K6" s="16" t="str">
        <f>VLOOKUP($B6,ФФП!$C$7:$V$52,11,0)</f>
        <v>1 : 2</v>
      </c>
      <c r="L6" s="16" t="str">
        <f>VLOOKUP($B6,ФФП!$C$7:$V$52,10,0)</f>
        <v>4 : 1</v>
      </c>
      <c r="M6" s="51">
        <f t="shared" si="2"/>
        <v>13</v>
      </c>
      <c r="N6" s="428" t="e">
        <f t="shared" si="3"/>
        <v>#N/A</v>
      </c>
      <c r="O6" s="492">
        <f>VLOOKUP(B6,Предвидение!$C$13:$V$50,20,0)</f>
        <v>16</v>
      </c>
      <c r="P6" s="489">
        <f>VLOOKUP(O6,Очки!$A$2:$B$84,2,0)</f>
        <v>17</v>
      </c>
      <c r="Q6" s="494">
        <f>VLOOKUP(B6,Предвидение!$C$13:$V$50,10,0)</f>
        <v>7</v>
      </c>
      <c r="R6" s="494">
        <f>VLOOKUP(B6,Предвидение!$C$13:$V$50,19,0)</f>
        <v>7</v>
      </c>
      <c r="S6" s="489">
        <f t="shared" si="4"/>
        <v>5</v>
      </c>
      <c r="T6" s="495">
        <f t="shared" si="5"/>
        <v>22</v>
      </c>
      <c r="U6" s="492">
        <f>VLOOKUP(B6,Торпедо!$C$27:$U$56,19,0)</f>
        <v>20</v>
      </c>
      <c r="V6" s="489">
        <f>VLOOKUP(U6,Очки!$A$2:$B$84,2,0)</f>
        <v>13</v>
      </c>
      <c r="W6" s="548">
        <f>VLOOKUP($B6,Торпедо!$C$27:$U$56,10,0)</f>
        <v>5</v>
      </c>
      <c r="X6" s="494">
        <f>VLOOKUP($B6,Торпедо!$C$27:$U$56,18,0)</f>
        <v>6</v>
      </c>
      <c r="Y6" s="489">
        <f>ROUND(10*X6/(W6*2),1)</f>
        <v>6</v>
      </c>
      <c r="Z6" s="495">
        <f t="shared" si="6"/>
        <v>19</v>
      </c>
      <c r="AA6" s="65" t="str">
        <f>VLOOKUP(B6,ФФП!$C$64:$L$93,10,0)</f>
        <v>5-8</v>
      </c>
      <c r="AB6" s="489">
        <f>VLOOKUP(AA6,Очки!$A$2:$B$84,2,0)</f>
        <v>29</v>
      </c>
      <c r="AC6" s="56">
        <f>VLOOKUP(B6,ФФП!$C$7:$W$52,13,0)+VLOOKUP(B6,ФФП!$C$64:$L$93,3,0)</f>
        <v>12</v>
      </c>
      <c r="AD6" s="56">
        <f>VLOOKUP(B6,ФФП!$C$7:$W$52,12,0)+VLOOKUP(B6,ФФП!$C$64:$L$93,4,0)*2+VLOOKUP(B6,ФФП!$C$64:$L$93,5,0)</f>
        <v>15</v>
      </c>
      <c r="AE6" s="489">
        <f t="shared" si="7"/>
        <v>6.3</v>
      </c>
      <c r="AF6" s="299">
        <f t="shared" si="8"/>
        <v>35.3</v>
      </c>
      <c r="AG6" s="66" t="str">
        <f>VLOOKUP(B6,Форвард!$C$50:$Q$71,15,FALSE)</f>
        <v>9-12</v>
      </c>
      <c r="AH6" s="16">
        <f>VLOOKUP(AG6,Очки!$A$2:$B$83,2,0)</f>
        <v>22.5</v>
      </c>
      <c r="AI6" s="15">
        <f>VLOOKUP(B6,Форвард!$C$6:$Q$45,6,FALSE)+VLOOKUP(B6,Форвард!$C$50:$Q$71,6,FALSE)</f>
        <v>12</v>
      </c>
      <c r="AJ6" s="15">
        <f>VLOOKUP(B6,Форвард!$C$6:$Q$45,14,FALSE)+VLOOKUP(B6,Форвард!$C$50:$Q$71,14,FALSE)</f>
        <v>20</v>
      </c>
      <c r="AK6" s="51">
        <f t="shared" si="9"/>
        <v>8.9</v>
      </c>
      <c r="AL6" s="138">
        <f t="shared" si="10"/>
        <v>31.4</v>
      </c>
      <c r="AM6" s="69">
        <f t="shared" si="11"/>
        <v>90.6</v>
      </c>
      <c r="AN6" s="12"/>
      <c r="AO6" s="12"/>
      <c r="AP6" s="12"/>
      <c r="AR6" s="12"/>
      <c r="AS6" s="12"/>
    </row>
    <row r="7" spans="1:45" ht="13.5" thickBot="1">
      <c r="A7" s="14">
        <v>4</v>
      </c>
      <c r="B7" s="551" t="s">
        <v>52</v>
      </c>
      <c r="C7" s="488" t="str">
        <f>VLOOKUP(B7,'Профи-Опен'!$P$60:$AC$75,14,0)</f>
        <v>9-16</v>
      </c>
      <c r="D7" s="489">
        <f>VLOOKUP(C7,Очки!$A$2:$B$84,2,0)</f>
        <v>20.5</v>
      </c>
      <c r="E7" s="490">
        <f>VLOOKUP(B7,'Профи-Опен'!$C$19:$V$56,10,0)+VLOOKUP(B7,'Профи-Опен'!$P$60:$AC$75,4,0)</f>
        <v>8</v>
      </c>
      <c r="F7" s="490">
        <f>VLOOKUP(B7,'Профи-Опен'!$C$19:$V$56,19,0)+VLOOKUP(B7,'Профи-Опен'!$P$60:$AC$75,13,0)</f>
        <v>8</v>
      </c>
      <c r="G7" s="489">
        <f t="shared" si="0"/>
        <v>5</v>
      </c>
      <c r="H7" s="491">
        <f t="shared" si="1"/>
        <v>25.5</v>
      </c>
      <c r="I7" s="66" t="str">
        <f>VLOOKUP(B7,ФФП!$C$7:$V$52,19,FALSE)</f>
        <v> 247</v>
      </c>
      <c r="J7" s="16" t="e">
        <f>VLOOKUP(I7,Очки!$A$2:$B$83,2,0)</f>
        <v>#N/A</v>
      </c>
      <c r="K7" s="16" t="str">
        <f>VLOOKUP($B7,ФФП!$C$7:$V$52,11,0)</f>
        <v>5 : 1</v>
      </c>
      <c r="L7" s="16" t="str">
        <f>VLOOKUP($B7,ФФП!$C$7:$V$52,10,0)</f>
        <v>5 : 0</v>
      </c>
      <c r="M7" s="51">
        <f t="shared" si="2"/>
        <v>3.4</v>
      </c>
      <c r="N7" s="428" t="e">
        <f t="shared" si="3"/>
        <v>#N/A</v>
      </c>
      <c r="O7" s="492">
        <f>VLOOKUP(B7,Предвидение!$C$13:$V$50,20,0)</f>
        <v>16</v>
      </c>
      <c r="P7" s="489">
        <f>VLOOKUP(O7,Очки!$A$2:$B$84,2,0)</f>
        <v>17</v>
      </c>
      <c r="Q7" s="494">
        <f>VLOOKUP(B7,Предвидение!$C$13:$V$50,10,0)</f>
        <v>7</v>
      </c>
      <c r="R7" s="494">
        <f>VLOOKUP(B7,Предвидение!$C$13:$V$50,19,0)</f>
        <v>12</v>
      </c>
      <c r="S7" s="489">
        <f t="shared" si="4"/>
        <v>8.6</v>
      </c>
      <c r="T7" s="495">
        <f t="shared" si="5"/>
        <v>25.6</v>
      </c>
      <c r="U7" s="492">
        <f>VLOOKUP(B7,Торпедо!$C$58:$D$68,2,0)</f>
        <v>20</v>
      </c>
      <c r="V7" s="489">
        <f>VLOOKUP(U7,Очки!$A$2:$B$84,2,0)</f>
        <v>13</v>
      </c>
      <c r="W7" s="494"/>
      <c r="X7" s="494"/>
      <c r="Y7" s="496"/>
      <c r="Z7" s="495">
        <f t="shared" si="6"/>
        <v>13</v>
      </c>
      <c r="AA7" s="65" t="str">
        <f>VLOOKUP(B7,ФФП!$C$64:$L$93,10,0)</f>
        <v>9-16</v>
      </c>
      <c r="AB7" s="489">
        <f>VLOOKUP(AA7,Очки!$A$2:$B$84,2,0)</f>
        <v>20.5</v>
      </c>
      <c r="AC7" s="56">
        <f>VLOOKUP(B7,ФФП!$C$7:$W$52,13,0)+VLOOKUP(B7,ФФП!$C$64:$L$93,3,0)</f>
        <v>12</v>
      </c>
      <c r="AD7" s="56">
        <f>VLOOKUP(B7,ФФП!$C$7:$W$52,12,0)+VLOOKUP(B7,ФФП!$C$64:$L$93,4,0)*2+VLOOKUP(B7,ФФП!$C$64:$L$93,5,0)</f>
        <v>13</v>
      </c>
      <c r="AE7" s="489">
        <f t="shared" si="7"/>
        <v>5.4</v>
      </c>
      <c r="AF7" s="299">
        <f t="shared" si="8"/>
        <v>25.9</v>
      </c>
      <c r="AG7" s="66" t="str">
        <f>VLOOKUP(B7,Форвард!$C$6:$Q$45,15,FALSE)</f>
        <v>22-28</v>
      </c>
      <c r="AH7" s="16">
        <f>VLOOKUP(AG7,Очки!$A$2:$B$83,2,0)</f>
        <v>8</v>
      </c>
      <c r="AI7" s="15">
        <f>VLOOKUP(B7,Форвард!$C$6:$Q$45,6,FALSE)</f>
        <v>6</v>
      </c>
      <c r="AJ7" s="15">
        <f>VLOOKUP(B7,Форвард!$C$6:$Q$45,14,FALSE)</f>
        <v>3</v>
      </c>
      <c r="AK7" s="51">
        <f t="shared" si="9"/>
        <v>2.2</v>
      </c>
      <c r="AL7" s="138">
        <f t="shared" si="10"/>
        <v>10.2</v>
      </c>
      <c r="AM7" s="69">
        <f t="shared" si="11"/>
        <v>90</v>
      </c>
      <c r="AN7" s="12"/>
      <c r="AO7" s="12"/>
      <c r="AP7" s="12"/>
      <c r="AR7" s="12"/>
      <c r="AS7" s="12"/>
    </row>
    <row r="8" spans="1:45" ht="13.5" thickBot="1">
      <c r="A8" s="17">
        <v>5</v>
      </c>
      <c r="B8" s="57" t="s">
        <v>671</v>
      </c>
      <c r="C8" s="488">
        <f>VLOOKUP(B8,'Профи-Опен'!$C$19:$V$56,20,0)</f>
        <v>22</v>
      </c>
      <c r="D8" s="489">
        <f>VLOOKUP(C8,Очки!$A$2:$B$84,2,0)</f>
        <v>11</v>
      </c>
      <c r="E8" s="490">
        <f>VLOOKUP(B8,'Профи-Опен'!$C$19:$V$56,10,0)</f>
        <v>7</v>
      </c>
      <c r="F8" s="490">
        <f>VLOOKUP(B8,'Профи-Опен'!$C$19:$V$56,19,0)</f>
        <v>6</v>
      </c>
      <c r="G8" s="489">
        <f t="shared" si="0"/>
        <v>4.3</v>
      </c>
      <c r="H8" s="491">
        <f t="shared" si="1"/>
        <v>15.3</v>
      </c>
      <c r="I8" s="66" t="str">
        <f>VLOOKUP(B8,ФФП!$C$7:$V$52,19,FALSE)</f>
        <v> 235</v>
      </c>
      <c r="J8" s="16" t="e">
        <f>VLOOKUP(I8,Очки!$A$2:$B$83,2,0)</f>
        <v>#N/A</v>
      </c>
      <c r="K8" s="16" t="str">
        <f>VLOOKUP($B8,ФФП!$C$7:$V$52,11,0)</f>
        <v>2 : 1</v>
      </c>
      <c r="L8" s="16" t="str">
        <f>VLOOKUP($B8,ФФП!$C$7:$V$52,10,0)</f>
        <v>0 : 5</v>
      </c>
      <c r="M8" s="51">
        <f t="shared" si="2"/>
        <v>0.1</v>
      </c>
      <c r="N8" s="428" t="e">
        <f t="shared" si="3"/>
        <v>#N/A</v>
      </c>
      <c r="O8" s="492">
        <f>VLOOKUP(B8,Предвидение!$C$13:$V$50,20,0)</f>
        <v>16</v>
      </c>
      <c r="P8" s="489">
        <f>VLOOKUP(O8,Очки!$A$2:$B$84,2,0)</f>
        <v>17</v>
      </c>
      <c r="Q8" s="494">
        <f>VLOOKUP(B8,Предвидение!$C$13:$V$50,10,0)</f>
        <v>7</v>
      </c>
      <c r="R8" s="494">
        <f>VLOOKUP(B8,Предвидение!$C$13:$V$50,19,0)</f>
        <v>12</v>
      </c>
      <c r="S8" s="489">
        <f t="shared" si="4"/>
        <v>8.6</v>
      </c>
      <c r="T8" s="495">
        <f t="shared" si="5"/>
        <v>25.6</v>
      </c>
      <c r="U8" s="492">
        <f>VLOOKUP(B8,Торпедо!$C$58:$D$68,2,0)</f>
        <v>20</v>
      </c>
      <c r="V8" s="489">
        <f>VLOOKUP(U8,Очки!$A$2:$B$84,2,0)</f>
        <v>13</v>
      </c>
      <c r="W8" s="494"/>
      <c r="X8" s="494"/>
      <c r="Y8" s="496"/>
      <c r="Z8" s="495">
        <f t="shared" si="6"/>
        <v>13</v>
      </c>
      <c r="AA8" s="65" t="str">
        <f>VLOOKUP(B8,ФФП!$C$64:$L$93,10,0)</f>
        <v>5-8</v>
      </c>
      <c r="AB8" s="489">
        <f>VLOOKUP(AA8,Очки!$A$2:$B$84,2,0)</f>
        <v>29</v>
      </c>
      <c r="AC8" s="56">
        <f>VLOOKUP(B8,ФФП!$C$7:$W$52,13,0)+1+VLOOKUP(B8,ФФП!$C$64:$L$93,3,0)</f>
        <v>15</v>
      </c>
      <c r="AD8" s="56">
        <f>VLOOKUP(B8,ФФП!$C$7:$W$52,12,0)+2+VLOOKUP(B8,ФФП!$C$64:$L$93,4,0)*2+VLOOKUP(B8,ФФП!$C$64:$L$93,5,0)</f>
        <v>17</v>
      </c>
      <c r="AE8" s="489">
        <f t="shared" si="7"/>
        <v>5.7</v>
      </c>
      <c r="AF8" s="299">
        <f t="shared" si="8"/>
        <v>34.7</v>
      </c>
      <c r="AG8" s="66" t="e">
        <f>VLOOKUP(B8,Форвард!$C$50:$Q$71,15,FALSE)</f>
        <v>#N/A</v>
      </c>
      <c r="AH8" s="16" t="e">
        <f>VLOOKUP(AG8,Очки!$A$2:$B$83,2,0)</f>
        <v>#N/A</v>
      </c>
      <c r="AI8" s="15" t="e">
        <f>VLOOKUP(B8,Форвард!$C$6:$Q$45,6,FALSE)+VLOOKUP(B8,Форвард!$C$50:$Q$71,6,FALSE)</f>
        <v>#N/A</v>
      </c>
      <c r="AJ8" s="15" t="e">
        <f>VLOOKUP(B8,Форвард!$C$6:$Q$45,14,FALSE)+VLOOKUP(B8,Форвард!$C$50:$Q$71,14,FALSE)</f>
        <v>#N/A</v>
      </c>
      <c r="AK8" s="51" t="e">
        <f t="shared" si="9"/>
        <v>#N/A</v>
      </c>
      <c r="AL8" s="138" t="e">
        <f t="shared" si="10"/>
        <v>#N/A</v>
      </c>
      <c r="AM8" s="69">
        <f t="shared" si="11"/>
        <v>88.60000000000001</v>
      </c>
      <c r="AN8" s="12"/>
      <c r="AO8" s="12"/>
      <c r="AP8" s="12"/>
      <c r="AQ8" s="12"/>
      <c r="AR8" s="12"/>
      <c r="AS8" s="12"/>
    </row>
    <row r="9" spans="1:45" ht="13.5" thickBot="1">
      <c r="A9" s="14">
        <v>6</v>
      </c>
      <c r="B9" s="58" t="s">
        <v>235</v>
      </c>
      <c r="C9" s="488" t="str">
        <f>VLOOKUP(B9,'Профи-Опен'!$P$60:$AC$75,14,0)</f>
        <v>9-16</v>
      </c>
      <c r="D9" s="489">
        <f>VLOOKUP(C9,Очки!$A$2:$B$84,2,0)</f>
        <v>20.5</v>
      </c>
      <c r="E9" s="490">
        <f>VLOOKUP(B9,'Профи-Опен'!$C$19:$V$56,10,0)+VLOOKUP(B9,'Профи-Опен'!$P$60:$AC$75,4,0)</f>
        <v>8</v>
      </c>
      <c r="F9" s="490">
        <f>VLOOKUP(B9,'Профи-Опен'!$C$19:$V$56,19,0)+VLOOKUP(B9,'Профи-Опен'!$P$60:$AC$75,13,0)</f>
        <v>8</v>
      </c>
      <c r="G9" s="489">
        <f t="shared" si="0"/>
        <v>5</v>
      </c>
      <c r="H9" s="491">
        <f t="shared" si="1"/>
        <v>25.5</v>
      </c>
      <c r="I9" s="66" t="str">
        <f>VLOOKUP(B9,ФФП!$C$7:$V$52,19,FALSE)</f>
        <v> 283</v>
      </c>
      <c r="J9" s="16" t="e">
        <f>VLOOKUP(I9,Очки!$A$2:$B$83,2,0)</f>
        <v>#N/A</v>
      </c>
      <c r="K9" s="16" t="str">
        <f>VLOOKUP($B9,ФФП!$C$7:$V$52,11,0)</f>
        <v>3 : 2</v>
      </c>
      <c r="L9" s="16" t="str">
        <f>VLOOKUP($B9,ФФП!$C$7:$V$52,10,0)</f>
        <v>4 : 1</v>
      </c>
      <c r="M9" s="51">
        <f t="shared" si="2"/>
        <v>4.4</v>
      </c>
      <c r="N9" s="428" t="e">
        <f t="shared" si="3"/>
        <v>#N/A</v>
      </c>
      <c r="O9" s="492">
        <f>VLOOKUP(B9,Предвидение!$C$13:$V$50,20,0)</f>
        <v>16</v>
      </c>
      <c r="P9" s="489">
        <f>VLOOKUP(O9,Очки!$A$2:$B$84,2,0)</f>
        <v>17</v>
      </c>
      <c r="Q9" s="494">
        <f>VLOOKUP(B9,Предвидение!$C$13:$V$50,10,0)</f>
        <v>7</v>
      </c>
      <c r="R9" s="494">
        <f>VLOOKUP(B9,Предвидение!$C$13:$V$50,19,0)</f>
        <v>8</v>
      </c>
      <c r="S9" s="489">
        <f t="shared" si="4"/>
        <v>5.7</v>
      </c>
      <c r="T9" s="495">
        <f t="shared" si="5"/>
        <v>22.7</v>
      </c>
      <c r="U9" s="492">
        <f>VLOOKUP(B9,Торпедо!$C$58:$D$68,2,0)</f>
        <v>20</v>
      </c>
      <c r="V9" s="489">
        <f>VLOOKUP(U9,Очки!$A$2:$B$84,2,0)</f>
        <v>13</v>
      </c>
      <c r="W9" s="494"/>
      <c r="X9" s="494"/>
      <c r="Y9" s="496"/>
      <c r="Z9" s="495">
        <f t="shared" si="6"/>
        <v>13</v>
      </c>
      <c r="AA9" s="65" t="str">
        <f>VLOOKUP(B9,ФФП!$C$64:$L$93,10,0)</f>
        <v>9-16</v>
      </c>
      <c r="AB9" s="489">
        <f>VLOOKUP(AA9,Очки!$A$2:$B$84,2,0)</f>
        <v>20.5</v>
      </c>
      <c r="AC9" s="56">
        <f>VLOOKUP(B9,ФФП!$C$7:$W$52,13,0)+VLOOKUP(B9,ФФП!$C$64:$L$93,3,0)</f>
        <v>14</v>
      </c>
      <c r="AD9" s="56">
        <f>VLOOKUP(B9,ФФП!$C$7:$W$52,12,0)+VLOOKUP(B9,ФФП!$C$64:$L$93,4,0)*2+VLOOKUP(B9,ФФП!$C$64:$L$93,5,0)</f>
        <v>18</v>
      </c>
      <c r="AE9" s="489">
        <f t="shared" si="7"/>
        <v>6.4</v>
      </c>
      <c r="AF9" s="299">
        <f t="shared" si="8"/>
        <v>26.9</v>
      </c>
      <c r="AG9" s="66" t="str">
        <f>VLOOKUP(B9,Форвард!$C$50:$Q$71,15,FALSE)</f>
        <v>9-12</v>
      </c>
      <c r="AH9" s="16">
        <f>VLOOKUP(AG9,Очки!$A$2:$B$83,2,0)</f>
        <v>22.5</v>
      </c>
      <c r="AI9" s="15">
        <f>VLOOKUP(B9,Форвард!$C$6:$Q$45,6,FALSE)+VLOOKUP(B9,Форвард!$C$50:$Q$71,6,FALSE)</f>
        <v>12</v>
      </c>
      <c r="AJ9" s="15">
        <f>VLOOKUP(B9,Форвард!$C$6:$Q$45,14,FALSE)+VLOOKUP(B9,Форвард!$C$50:$Q$71,14,FALSE)</f>
        <v>15</v>
      </c>
      <c r="AK9" s="51">
        <f t="shared" si="9"/>
        <v>6.7</v>
      </c>
      <c r="AL9" s="138">
        <f t="shared" si="10"/>
        <v>29.2</v>
      </c>
      <c r="AM9" s="69">
        <f t="shared" si="11"/>
        <v>88.1</v>
      </c>
      <c r="AN9" s="12"/>
      <c r="AO9" s="12"/>
      <c r="AP9" s="12"/>
      <c r="AR9" s="12"/>
      <c r="AS9" s="12"/>
    </row>
    <row r="10" spans="1:45" ht="13.5" thickBot="1">
      <c r="A10" s="17">
        <v>7</v>
      </c>
      <c r="B10" s="486" t="s">
        <v>322</v>
      </c>
      <c r="C10" s="488">
        <f>VLOOKUP(B10,'Профи-Опен'!$P$60:$AC$75,14,0)</f>
        <v>1</v>
      </c>
      <c r="D10" s="489">
        <f>VLOOKUP(C10,Очки!$A$2:$B$84,2,0)</f>
        <v>45</v>
      </c>
      <c r="E10" s="490">
        <f>VLOOKUP(B10,'Профи-Опен'!$C$7:$Q$16,6,0)+VLOOKUP(B10,'Профи-Опен'!$C$19:$V$56,10,0)+VLOOKUP(B10,'Профи-Опен'!$P$60:$AC$75,4,0)</f>
        <v>14</v>
      </c>
      <c r="F10" s="490">
        <f>VLOOKUP(B10,'Профи-Опен'!$C$7:$Q$17,15,0)+VLOOKUP(B10,'Профи-Опен'!$C$19:$V$56,19,0)+VLOOKUP(B10,'Профи-Опен'!$P$60:$AC$75,13,0)</f>
        <v>20</v>
      </c>
      <c r="G10" s="489">
        <f t="shared" si="0"/>
        <v>7.1</v>
      </c>
      <c r="H10" s="491">
        <f t="shared" si="1"/>
        <v>52.1</v>
      </c>
      <c r="I10" s="66"/>
      <c r="J10" s="16"/>
      <c r="K10" s="16"/>
      <c r="L10" s="16"/>
      <c r="M10" s="51"/>
      <c r="N10" s="138">
        <f t="shared" si="3"/>
        <v>0</v>
      </c>
      <c r="O10" s="492">
        <f>VLOOKUP(B10,Предвидение!$C$13:$V$50,20,0)</f>
        <v>16</v>
      </c>
      <c r="P10" s="489">
        <f>VLOOKUP(O10,Очки!$A$2:$B$84,2,0)</f>
        <v>17</v>
      </c>
      <c r="Q10" s="494">
        <f>VLOOKUP(B10,Предвидение!$C$13:$V$50,10,0)</f>
        <v>7</v>
      </c>
      <c r="R10" s="494">
        <f>VLOOKUP(B10,Предвидение!$C$13:$V$50,19,0)</f>
        <v>11</v>
      </c>
      <c r="S10" s="489">
        <f t="shared" si="4"/>
        <v>7.9</v>
      </c>
      <c r="T10" s="495">
        <f t="shared" si="5"/>
        <v>24.9</v>
      </c>
      <c r="U10" s="492"/>
      <c r="V10" s="489"/>
      <c r="W10" s="494"/>
      <c r="X10" s="494"/>
      <c r="Y10" s="496"/>
      <c r="Z10" s="497"/>
      <c r="AA10" s="65" t="str">
        <f>VLOOKUP(B10,ФФП!$C$7:$W$52,21,0)</f>
        <v>29-32</v>
      </c>
      <c r="AB10" s="489">
        <f>VLOOKUP(AA10,Очки!$A$2:$B$84,2,0)</f>
        <v>2.5</v>
      </c>
      <c r="AC10" s="56">
        <f>VLOOKUP(B10,ФФП!$C$7:$W$52,13,0)</f>
        <v>9</v>
      </c>
      <c r="AD10" s="56">
        <f>VLOOKUP(B10,ФФП!$C$7:$W$52,12,0)</f>
        <v>8</v>
      </c>
      <c r="AE10" s="489">
        <f t="shared" si="7"/>
        <v>4.4</v>
      </c>
      <c r="AF10" s="299">
        <f t="shared" si="8"/>
        <v>6.9</v>
      </c>
      <c r="AG10" s="66"/>
      <c r="AH10" s="16"/>
      <c r="AI10" s="15"/>
      <c r="AJ10" s="15"/>
      <c r="AK10" s="51"/>
      <c r="AL10" s="138"/>
      <c r="AM10" s="69">
        <f t="shared" si="11"/>
        <v>83.9</v>
      </c>
      <c r="AO10" s="12"/>
      <c r="AP10" s="12"/>
      <c r="AR10" s="12"/>
      <c r="AS10" s="12"/>
    </row>
    <row r="11" spans="1:45" ht="13.5" thickBot="1">
      <c r="A11" s="14">
        <v>8</v>
      </c>
      <c r="B11" s="486" t="s">
        <v>325</v>
      </c>
      <c r="C11" s="488">
        <f>VLOOKUP(B11,'Профи-Опен'!$P$60:$AC$75,14,0)</f>
        <v>2</v>
      </c>
      <c r="D11" s="489">
        <f>VLOOKUP(C11,Очки!$A$2:$B$84,2,0)</f>
        <v>40</v>
      </c>
      <c r="E11" s="490">
        <f>VLOOKUP(B11,'Профи-Опен'!$C$19:$V$56,10,0)+VLOOKUP(B11,'Профи-Опен'!$P$60:$AC$75,4,0)</f>
        <v>11</v>
      </c>
      <c r="F11" s="490">
        <f>VLOOKUP(B11,'Профи-Опен'!$C$19:$V$56,19,0)+VLOOKUP(B11,'Профи-Опен'!$P$60:$AC$75,13,0)</f>
        <v>15</v>
      </c>
      <c r="G11" s="489">
        <f t="shared" si="0"/>
        <v>6.8</v>
      </c>
      <c r="H11" s="491">
        <f t="shared" si="1"/>
        <v>46.8</v>
      </c>
      <c r="I11" s="66" t="str">
        <f>VLOOKUP(B11,ФФП!$C$7:$V$52,19,FALSE)</f>
        <v> 245</v>
      </c>
      <c r="J11" s="16" t="e">
        <f>VLOOKUP(I11,Очки!$A$2:$B$83,2,0)</f>
        <v>#N/A</v>
      </c>
      <c r="K11" s="16">
        <f>VLOOKUP($B11,ФФП!$C$7:$V$52,11,0)</f>
        <v>0</v>
      </c>
      <c r="L11" s="16" t="str">
        <f>VLOOKUP($B11,ФФП!$C$7:$V$52,10,0)</f>
        <v>1 : 5</v>
      </c>
      <c r="M11" s="51" t="e">
        <f aca="true" t="shared" si="12" ref="M11:M23">ROUND(((20-$M$2+K11)*L11/(K11*3)/2),1)</f>
        <v>#DIV/0!</v>
      </c>
      <c r="N11" s="428" t="e">
        <f t="shared" si="3"/>
        <v>#N/A</v>
      </c>
      <c r="O11" s="492">
        <f>VLOOKUP(B11,Предвидение!$C$13:$V$50,20,0)</f>
        <v>16</v>
      </c>
      <c r="P11" s="489">
        <f>VLOOKUP(O11,Очки!$A$2:$B$84,2,0)</f>
        <v>17</v>
      </c>
      <c r="Q11" s="494">
        <f>VLOOKUP(B11,Предвидение!$C$13:$V$50,10,0)</f>
        <v>7</v>
      </c>
      <c r="R11" s="494">
        <f>VLOOKUP(B11,Предвидение!$C$13:$V$50,19,0)</f>
        <v>10</v>
      </c>
      <c r="S11" s="489">
        <f t="shared" si="4"/>
        <v>7.1</v>
      </c>
      <c r="T11" s="495">
        <f t="shared" si="5"/>
        <v>24.1</v>
      </c>
      <c r="U11" s="492" t="str">
        <f>VLOOKUP(B11,Торпедо!$C$27:$U$56,19,0)</f>
        <v>28-31</v>
      </c>
      <c r="V11" s="489">
        <f>VLOOKUP(U11,Очки!$A$2:$B$84,2,0)</f>
        <v>3.5</v>
      </c>
      <c r="W11" s="548">
        <f>VLOOKUP($B11,Торпедо!$C$27:$U$56,10,0)</f>
        <v>5</v>
      </c>
      <c r="X11" s="494">
        <f>VLOOKUP($B11,Торпедо!$C$27:$U$56,18,0)</f>
        <v>4</v>
      </c>
      <c r="Y11" s="489">
        <f>ROUND(10*X11/(W11*2),1)</f>
        <v>4</v>
      </c>
      <c r="Z11" s="495">
        <f aca="true" t="shared" si="13" ref="Z11:Z20">V11+Y11</f>
        <v>7.5</v>
      </c>
      <c r="AA11" s="65" t="str">
        <f>VLOOKUP(B11,ФФП!$C$7:$W$52,21,0)</f>
        <v>37-40</v>
      </c>
      <c r="AB11" s="489">
        <f>VLOOKUP(AA11,Очки!$A$2:$B$84,2,0)</f>
        <v>0</v>
      </c>
      <c r="AC11" s="56">
        <f>VLOOKUP(B11,ФФП!$C$7:$W$52,13,0)</f>
        <v>9</v>
      </c>
      <c r="AD11" s="56">
        <f>VLOOKUP(B11,ФФП!$C$7:$W$52,12,0)</f>
        <v>5</v>
      </c>
      <c r="AE11" s="489">
        <f t="shared" si="7"/>
        <v>2.8</v>
      </c>
      <c r="AF11" s="299">
        <f t="shared" si="8"/>
        <v>2.8</v>
      </c>
      <c r="AG11" s="66" t="str">
        <f>VLOOKUP(B11,Форвард!$C$6:$Q$45,15,FALSE)</f>
        <v>17-21</v>
      </c>
      <c r="AH11" s="16">
        <f>VLOOKUP(AG11,Очки!$A$2:$B$83,2,0)</f>
        <v>14</v>
      </c>
      <c r="AI11" s="15">
        <f>VLOOKUP(B11,Форвард!$C$6:$Q$45,6,FALSE)</f>
        <v>6</v>
      </c>
      <c r="AJ11" s="15">
        <f>VLOOKUP(B11,Форвард!$C$6:$Q$45,14,FALSE)</f>
        <v>6</v>
      </c>
      <c r="AK11" s="51">
        <f aca="true" t="shared" si="14" ref="AK11:AK16">ROUND(((20-$AK$2+AI11)*AJ11/(AI11*3)/2),1)</f>
        <v>4.3</v>
      </c>
      <c r="AL11" s="138">
        <f aca="true" t="shared" si="15" ref="AL11:AL16">AH11+AK11</f>
        <v>18.3</v>
      </c>
      <c r="AM11" s="69">
        <f t="shared" si="11"/>
        <v>81.2</v>
      </c>
      <c r="AN11" s="12"/>
      <c r="AO11" s="12"/>
      <c r="AP11" s="12"/>
      <c r="AR11" s="12"/>
      <c r="AS11" s="12"/>
    </row>
    <row r="12" spans="1:45" ht="13.5" thickBot="1">
      <c r="A12" s="17">
        <v>9</v>
      </c>
      <c r="B12" s="486" t="s">
        <v>238</v>
      </c>
      <c r="C12" s="488">
        <f>VLOOKUP(B12,'Профи-Опен'!$P$60:$AC$75,14,0)</f>
        <v>3</v>
      </c>
      <c r="D12" s="489">
        <f>VLOOKUP(C12,Очки!$A$2:$B$84,2,0)</f>
        <v>37</v>
      </c>
      <c r="E12" s="490">
        <f>VLOOKUP(B12,'Профи-Опен'!$C$19:$V$56,10,0)+VLOOKUP(B12,'Профи-Опен'!$P$60:$AC$75,4,0)</f>
        <v>11</v>
      </c>
      <c r="F12" s="490">
        <f>VLOOKUP(B12,'Профи-Опен'!$C$19:$V$56,19,0)+VLOOKUP(B12,'Профи-Опен'!$P$60:$AC$75,13,0)</f>
        <v>16</v>
      </c>
      <c r="G12" s="489">
        <f t="shared" si="0"/>
        <v>7.3</v>
      </c>
      <c r="H12" s="491">
        <f t="shared" si="1"/>
        <v>44.3</v>
      </c>
      <c r="I12" s="66" t="e">
        <f>VLOOKUP(B12,ФФП!#REF!,23,FALSE)</f>
        <v>#REF!</v>
      </c>
      <c r="J12" s="16" t="e">
        <f>VLOOKUP(I12,Очки!$A$2:$B$83,2,0)</f>
        <v>#REF!</v>
      </c>
      <c r="K12" s="16" t="e">
        <f>VLOOKUP($B12,ФФП!$C$7:$V$52,11,0)+VLOOKUP($B12,ФФП!#REF!,11,0)+VLOOKUP($B12,ФФП!#REF!,15,0)</f>
        <v>#REF!</v>
      </c>
      <c r="L12" s="16" t="e">
        <f>VLOOKUP($B12,ФФП!$C$7:$V$52,10,0)+VLOOKUP($B12,ФФП!#REF!,10,0)+VLOOKUP($B12,ФФП!#REF!,14,0)</f>
        <v>#REF!</v>
      </c>
      <c r="M12" s="51" t="e">
        <f t="shared" si="12"/>
        <v>#REF!</v>
      </c>
      <c r="N12" s="138" t="e">
        <f t="shared" si="3"/>
        <v>#REF!</v>
      </c>
      <c r="O12" s="492">
        <f>VLOOKUP(B12,Предвидение!$C$13:$V$50,20,0)</f>
        <v>32</v>
      </c>
      <c r="P12" s="489">
        <f>VLOOKUP(O12,Очки!$A$2:$B$84,2,0)</f>
        <v>1</v>
      </c>
      <c r="Q12" s="494">
        <f>VLOOKUP(B12,Предвидение!$C$13:$V$50,10,0)</f>
        <v>7</v>
      </c>
      <c r="R12" s="494">
        <f>VLOOKUP(B12,Предвидение!$C$13:$V$50,19,0)</f>
        <v>6</v>
      </c>
      <c r="S12" s="489">
        <f t="shared" si="4"/>
        <v>4.3</v>
      </c>
      <c r="T12" s="495">
        <f t="shared" si="5"/>
        <v>5.3</v>
      </c>
      <c r="U12" s="492"/>
      <c r="V12" s="493"/>
      <c r="W12" s="494">
        <f>VLOOKUP($B12,Торпедо!$C$6:$U$23,10,0)</f>
        <v>7</v>
      </c>
      <c r="X12" s="494">
        <f>VLOOKUP($B12,Торпедо!$C$6:$U$23,18,0)</f>
        <v>7</v>
      </c>
      <c r="Y12" s="489">
        <f>ROUND(10*X12/(W12*2),1)</f>
        <v>5</v>
      </c>
      <c r="Z12" s="495">
        <f t="shared" si="13"/>
        <v>5</v>
      </c>
      <c r="AA12" s="65" t="str">
        <f>VLOOKUP(B12,ФФП!$C$64:$L$93,10,0)</f>
        <v>9-16</v>
      </c>
      <c r="AB12" s="489">
        <f>VLOOKUP(AA12,Очки!$A$2:$B$84,2,0)</f>
        <v>20.5</v>
      </c>
      <c r="AC12" s="56">
        <f>VLOOKUP(B12,ФФП!$C$7:$W$52,13,0)+VLOOKUP(B12,ФФП!$C$64:$L$93,3,0)</f>
        <v>13</v>
      </c>
      <c r="AD12" s="56">
        <f>VLOOKUP(B12,ФФП!$C$7:$W$52,12,0)+VLOOKUP(B12,ФФП!$C$64:$L$93,4,0)*2+VLOOKUP(B12,ФФП!$C$64:$L$93,5,0)</f>
        <v>12</v>
      </c>
      <c r="AE12" s="489">
        <f t="shared" si="7"/>
        <v>4.6</v>
      </c>
      <c r="AF12" s="299">
        <f t="shared" si="8"/>
        <v>25.1</v>
      </c>
      <c r="AG12" s="66" t="str">
        <f>VLOOKUP(B12,Форвард!$C$6:$Q$45,15,FALSE)</f>
        <v>17-21</v>
      </c>
      <c r="AH12" s="16">
        <f>VLOOKUP(AG12,Очки!$A$2:$B$83,2,0)</f>
        <v>14</v>
      </c>
      <c r="AI12" s="15">
        <f>VLOOKUP(B12,Форвард!$C$6:$Q$45,6,FALSE)</f>
        <v>6</v>
      </c>
      <c r="AJ12" s="15">
        <f>VLOOKUP(B12,Форвард!$C$6:$Q$45,14,FALSE)</f>
        <v>7</v>
      </c>
      <c r="AK12" s="51">
        <f t="shared" si="14"/>
        <v>5.1</v>
      </c>
      <c r="AL12" s="138">
        <f t="shared" si="15"/>
        <v>19.1</v>
      </c>
      <c r="AM12" s="69">
        <f t="shared" si="11"/>
        <v>79.69999999999999</v>
      </c>
      <c r="AN12" s="12"/>
      <c r="AO12" s="12"/>
      <c r="AP12" s="12"/>
      <c r="AR12" s="12"/>
      <c r="AS12" s="12"/>
    </row>
    <row r="13" spans="1:45" ht="13.5" thickBot="1">
      <c r="A13" s="14">
        <v>10</v>
      </c>
      <c r="B13" s="486" t="s">
        <v>120</v>
      </c>
      <c r="C13" s="488">
        <f>VLOOKUP(B13,'Профи-Опен'!$P$60:$AC$75,14,0)</f>
        <v>4</v>
      </c>
      <c r="D13" s="489">
        <f>VLOOKUP(C13,Очки!$A$2:$B$84,2,0)</f>
        <v>34</v>
      </c>
      <c r="E13" s="490">
        <f>VLOOKUP(B13,'Профи-Опен'!$C$19:$V$56,10,0)+VLOOKUP(B13,'Профи-Опен'!$P$60:$AC$75,4,0)</f>
        <v>11</v>
      </c>
      <c r="F13" s="490">
        <f>VLOOKUP(B13,'Профи-Опен'!$C$19:$V$56,19,0)+VLOOKUP(B13,'Профи-Опен'!$P$60:$AC$75,13,0)</f>
        <v>14</v>
      </c>
      <c r="G13" s="489">
        <f t="shared" si="0"/>
        <v>6.4</v>
      </c>
      <c r="H13" s="491">
        <f t="shared" si="1"/>
        <v>40.4</v>
      </c>
      <c r="I13" s="419" t="e">
        <f>VLOOKUP(B13,ФФП!#REF!,19,FALSE)</f>
        <v>#REF!</v>
      </c>
      <c r="J13" s="420" t="e">
        <f>VLOOKUP(I13,Очки!$A$2:$B$83,2,0)</f>
        <v>#REF!</v>
      </c>
      <c r="K13" s="420" t="e">
        <f>VLOOKUP($B13,ФФП!$C$7:$V$52,11,0)+VLOOKUP($B13,ФФП!#REF!,11,0)</f>
        <v>#REF!</v>
      </c>
      <c r="L13" s="420" t="e">
        <f>VLOOKUP($B13,ФФП!$C$7:$V$52,10,0)+VLOOKUP($B13,ФФП!#REF!,10,0)</f>
        <v>#REF!</v>
      </c>
      <c r="M13" s="421" t="e">
        <f t="shared" si="12"/>
        <v>#REF!</v>
      </c>
      <c r="N13" s="350" t="e">
        <f t="shared" si="3"/>
        <v>#REF!</v>
      </c>
      <c r="O13" s="492">
        <f>VLOOKUP(B13,Предвидение!$C$13:$V$50,20,0)</f>
        <v>16</v>
      </c>
      <c r="P13" s="489">
        <f>VLOOKUP(O13,Очки!$A$2:$B$84,2,0)</f>
        <v>17</v>
      </c>
      <c r="Q13" s="494">
        <f>VLOOKUP(B13,Предвидение!$C$13:$V$50,10,0)</f>
        <v>7</v>
      </c>
      <c r="R13" s="494">
        <f>VLOOKUP(B13,Предвидение!$C$13:$V$50,19,0)</f>
        <v>8</v>
      </c>
      <c r="S13" s="489">
        <f t="shared" si="4"/>
        <v>5.7</v>
      </c>
      <c r="T13" s="495">
        <f t="shared" si="5"/>
        <v>22.7</v>
      </c>
      <c r="U13" s="492">
        <f>VLOOKUP(B13,Торпедо!$C$58:$D$68,2,0)</f>
        <v>20</v>
      </c>
      <c r="V13" s="489">
        <f>VLOOKUP(U13,Очки!$A$2:$B$84,2,0)</f>
        <v>13</v>
      </c>
      <c r="W13" s="494"/>
      <c r="X13" s="494"/>
      <c r="Y13" s="496"/>
      <c r="Z13" s="495">
        <f t="shared" si="13"/>
        <v>13</v>
      </c>
      <c r="AA13" s="65" t="str">
        <f>VLOOKUP(B13,ФФП!$C$7:$W$52,21,0)</f>
        <v>33-36</v>
      </c>
      <c r="AB13" s="489">
        <f>VLOOKUP(AA13,Очки!$A$2:$B$84,2,0)</f>
        <v>0</v>
      </c>
      <c r="AC13" s="56">
        <f>VLOOKUP(B13,ФФП!$C$7:$W$52,13,0)</f>
        <v>9</v>
      </c>
      <c r="AD13" s="56">
        <f>VLOOKUP(B13,ФФП!$C$7:$W$52,12,0)</f>
        <v>6</v>
      </c>
      <c r="AE13" s="489">
        <f t="shared" si="7"/>
        <v>3.3</v>
      </c>
      <c r="AF13" s="299">
        <f t="shared" si="8"/>
        <v>3.3</v>
      </c>
      <c r="AG13" s="419">
        <f>VLOOKUP(B13,Форвард!$C$76:$Q$79,15,FALSE)</f>
        <v>3</v>
      </c>
      <c r="AH13" s="420">
        <f>VLOOKUP(AG13,Очки!$A$2:$B$83,2,0)</f>
        <v>37</v>
      </c>
      <c r="AI13" s="422">
        <f>VLOOKUP(B13,Форвард!$C$6:$Q$45,6,FALSE)+VLOOKUP(B13,Форвард!$C$50:$Q$71,6,FALSE)+VLOOKUP(B13,Форвард!$C$76:$Q$79,6,FALSE)</f>
        <v>18</v>
      </c>
      <c r="AJ13" s="422">
        <f>VLOOKUP(B13,Форвард!$C$6:$Q$45,14,FALSE)+VLOOKUP(B13,Форвард!$C$50:$Q$71,14,FALSE)+VLOOKUP(B13,Форвард!$C$76:$Q$79,14,FALSE)</f>
        <v>36</v>
      </c>
      <c r="AK13" s="421">
        <f t="shared" si="14"/>
        <v>12.7</v>
      </c>
      <c r="AL13" s="350">
        <f t="shared" si="15"/>
        <v>49.7</v>
      </c>
      <c r="AM13" s="69">
        <f t="shared" si="11"/>
        <v>79.39999999999999</v>
      </c>
      <c r="AO13" s="12"/>
      <c r="AR13" s="12"/>
      <c r="AS13" s="12"/>
    </row>
    <row r="14" spans="1:45" ht="13.5" thickBot="1">
      <c r="A14" s="17">
        <v>11</v>
      </c>
      <c r="B14" s="487" t="s">
        <v>311</v>
      </c>
      <c r="C14" s="488" t="str">
        <f>VLOOKUP(B14,'Профи-Опен'!$P$60:$AC$75,14,0)</f>
        <v>9-16</v>
      </c>
      <c r="D14" s="489">
        <f>VLOOKUP(C14,Очки!$A$2:$B$84,2,0)</f>
        <v>20.5</v>
      </c>
      <c r="E14" s="490">
        <f>VLOOKUP(B14,'Профи-Опен'!$C$19:$V$56,10,0)+VLOOKUP(B14,'Профи-Опен'!$P$60:$AC$75,4,0)</f>
        <v>8</v>
      </c>
      <c r="F14" s="490">
        <f>VLOOKUP(B14,'Профи-Опен'!$C$19:$V$56,19,0)+VLOOKUP(B14,'Профи-Опен'!$P$60:$AC$75,13,0)</f>
        <v>8</v>
      </c>
      <c r="G14" s="489">
        <f t="shared" si="0"/>
        <v>5</v>
      </c>
      <c r="H14" s="491">
        <f t="shared" si="1"/>
        <v>25.5</v>
      </c>
      <c r="I14" s="415" t="e">
        <f>VLOOKUP(B14,ФФП!#REF!,19,FALSE)</f>
        <v>#REF!</v>
      </c>
      <c r="J14" s="416" t="e">
        <f>VLOOKUP(I14,Очки!$A$2:$B$83,2,0)</f>
        <v>#REF!</v>
      </c>
      <c r="K14" s="416" t="e">
        <f>VLOOKUP($B14,ФФП!$C$7:$V$52,11,0)+VLOOKUP($B14,ФФП!#REF!,11,0)</f>
        <v>#REF!</v>
      </c>
      <c r="L14" s="416" t="e">
        <f>VLOOKUP($B14,ФФП!$C$7:$V$52,10,0)+VLOOKUP($B14,ФФП!#REF!,10,0)</f>
        <v>#REF!</v>
      </c>
      <c r="M14" s="417" t="e">
        <f t="shared" si="12"/>
        <v>#REF!</v>
      </c>
      <c r="N14" s="428" t="e">
        <f t="shared" si="3"/>
        <v>#REF!</v>
      </c>
      <c r="O14" s="492">
        <f>VLOOKUP(B14,Предвидение!$C$13:$V$50,20,0)</f>
        <v>16</v>
      </c>
      <c r="P14" s="489">
        <f>VLOOKUP(O14,Очки!$A$2:$B$84,2,0)</f>
        <v>17</v>
      </c>
      <c r="Q14" s="494">
        <f>VLOOKUP(B14,Предвидение!$C$13:$V$50,10,0)</f>
        <v>7</v>
      </c>
      <c r="R14" s="494">
        <f>VLOOKUP(B14,Предвидение!$C$13:$V$50,19,0)</f>
        <v>9</v>
      </c>
      <c r="S14" s="489">
        <f t="shared" si="4"/>
        <v>6.4</v>
      </c>
      <c r="T14" s="495">
        <f t="shared" si="5"/>
        <v>23.4</v>
      </c>
      <c r="U14" s="492">
        <f>VLOOKUP(B14,Торпедо!$C$58:$D$68,2,0)</f>
        <v>20</v>
      </c>
      <c r="V14" s="489">
        <f>VLOOKUP(U14,Очки!$A$2:$B$84,2,0)</f>
        <v>13</v>
      </c>
      <c r="W14" s="494"/>
      <c r="X14" s="494"/>
      <c r="Y14" s="496"/>
      <c r="Z14" s="495">
        <f t="shared" si="13"/>
        <v>13</v>
      </c>
      <c r="AA14" s="65" t="str">
        <f>VLOOKUP(B14,ФФП!$C$7:$W$52,21,0)</f>
        <v>21-24</v>
      </c>
      <c r="AB14" s="489">
        <f>VLOOKUP(AA14,Очки!$A$2:$B$84,2,0)</f>
        <v>10.5</v>
      </c>
      <c r="AC14" s="56">
        <f>VLOOKUP(B14,ФФП!$C$7:$W$52,13,0)</f>
        <v>9</v>
      </c>
      <c r="AD14" s="56">
        <f>VLOOKUP(B14,ФФП!$C$7:$W$52,12,0)</f>
        <v>9</v>
      </c>
      <c r="AE14" s="489">
        <f t="shared" si="7"/>
        <v>5</v>
      </c>
      <c r="AF14" s="299">
        <f t="shared" si="8"/>
        <v>15.5</v>
      </c>
      <c r="AG14" s="415" t="str">
        <f>VLOOKUP(B14,Форвард!$C$50:$Q$71,15,FALSE)</f>
        <v>5-8</v>
      </c>
      <c r="AH14" s="416">
        <f>VLOOKUP(AG14,Очки!$A$2:$B$83,2,0)</f>
        <v>29</v>
      </c>
      <c r="AI14" s="418">
        <f>VLOOKUP(B14,Форвард!$C$6:$Q$45,6,FALSE)+VLOOKUP(B14,Форвард!$C$50:$Q$71,6,FALSE)</f>
        <v>12</v>
      </c>
      <c r="AJ14" s="418">
        <f>VLOOKUP(B14,Форвард!$C$6:$Q$45,14,FALSE)+VLOOKUP(B14,Форвард!$C$50:$Q$71,14,FALSE)</f>
        <v>27</v>
      </c>
      <c r="AK14" s="417">
        <f t="shared" si="14"/>
        <v>12</v>
      </c>
      <c r="AL14" s="371">
        <f t="shared" si="15"/>
        <v>41</v>
      </c>
      <c r="AM14" s="69">
        <f t="shared" si="11"/>
        <v>77.4</v>
      </c>
      <c r="AO14" s="12"/>
      <c r="AR14" s="12"/>
      <c r="AS14" s="12"/>
    </row>
    <row r="15" spans="1:45" ht="13.5" thickBot="1">
      <c r="A15" s="14">
        <v>12</v>
      </c>
      <c r="B15" s="487" t="s">
        <v>15</v>
      </c>
      <c r="C15" s="488" t="str">
        <f>VLOOKUP(B15,'Профи-Опен'!$P$60:$AC$75,14,0)</f>
        <v>9-16</v>
      </c>
      <c r="D15" s="489">
        <f>VLOOKUP(C15,Очки!$A$2:$B$84,2,0)</f>
        <v>20.5</v>
      </c>
      <c r="E15" s="490">
        <f>VLOOKUP(B15,'Профи-Опен'!$C$19:$V$56,10,0)+VLOOKUP(B15,'Профи-Опен'!$P$60:$AC$75,4,0)</f>
        <v>8</v>
      </c>
      <c r="F15" s="490">
        <f>VLOOKUP(B15,'Профи-Опен'!$C$19:$V$56,19,0)+VLOOKUP(B15,'Профи-Опен'!$P$60:$AC$75,13,0)</f>
        <v>9</v>
      </c>
      <c r="G15" s="489">
        <f t="shared" si="0"/>
        <v>5.6</v>
      </c>
      <c r="H15" s="491">
        <f t="shared" si="1"/>
        <v>26.1</v>
      </c>
      <c r="I15" s="423" t="e">
        <f>VLOOKUP(B15,ФФП!#REF!,23,FALSE)</f>
        <v>#REF!</v>
      </c>
      <c r="J15" s="424" t="e">
        <f>VLOOKUP(I15,Очки!$A$2:$B$83,2,0)</f>
        <v>#REF!</v>
      </c>
      <c r="K15" s="424" t="e">
        <f>VLOOKUP($B15,ФФП!$C$7:$V$52,11,0)+VLOOKUP($B15,ФФП!#REF!,11,0)+VLOOKUP($B15,ФФП!#REF!,15,0)</f>
        <v>#VALUE!</v>
      </c>
      <c r="L15" s="424" t="e">
        <f>VLOOKUP($B15,ФФП!$C$7:$V$52,10,0)+VLOOKUP($B15,ФФП!#REF!,10,0)+VLOOKUP($B15,ФФП!#REF!,14,0)</f>
        <v>#REF!</v>
      </c>
      <c r="M15" s="425" t="e">
        <f t="shared" si="12"/>
        <v>#VALUE!</v>
      </c>
      <c r="N15" s="371" t="e">
        <f t="shared" si="3"/>
        <v>#REF!</v>
      </c>
      <c r="O15" s="492">
        <f>VLOOKUP(B15,Предвидение!$C$13:$V$50,20,0)</f>
        <v>16</v>
      </c>
      <c r="P15" s="489">
        <f>VLOOKUP(O15,Очки!$A$2:$B$84,2,0)</f>
        <v>17</v>
      </c>
      <c r="Q15" s="494">
        <f>VLOOKUP(B15,Предвидение!$C$13:$V$50,10,0)</f>
        <v>7</v>
      </c>
      <c r="R15" s="494">
        <f>VLOOKUP(B15,Предвидение!$C$13:$V$50,19,0)</f>
        <v>10</v>
      </c>
      <c r="S15" s="489">
        <f t="shared" si="4"/>
        <v>7.1</v>
      </c>
      <c r="T15" s="495">
        <f t="shared" si="5"/>
        <v>24.1</v>
      </c>
      <c r="U15" s="492" t="str">
        <f>VLOOKUP(B15,Торпедо!$C$27:$U$56,19,0)</f>
        <v>21-23</v>
      </c>
      <c r="V15" s="489">
        <f>VLOOKUP(U15,Очки!$A$2:$B$84,2,0)</f>
        <v>11</v>
      </c>
      <c r="W15" s="548">
        <f>VLOOKUP($B15,Торпедо!$C$6:$U$23,10,0)+VLOOKUP($B15,Торпедо!$C$27:$U$56,10,0)</f>
        <v>11</v>
      </c>
      <c r="X15" s="546">
        <f>VLOOKUP($B15,Торпедо!$C$6:$U$23,18,0)+VLOOKUP($B15,Торпедо!$C$27:$U$56,18,0)</f>
        <v>14</v>
      </c>
      <c r="Y15" s="489">
        <f>ROUND(10*X15/(W15*2),1)</f>
        <v>6.4</v>
      </c>
      <c r="Z15" s="495">
        <f t="shared" si="13"/>
        <v>17.4</v>
      </c>
      <c r="AA15" s="65" t="str">
        <f>VLOOKUP(B15,ФФП!$C$7:$W$52,21,0)</f>
        <v>29-32</v>
      </c>
      <c r="AB15" s="489">
        <f>VLOOKUP(AA15,Очки!$A$2:$B$84,2,0)</f>
        <v>2.5</v>
      </c>
      <c r="AC15" s="56">
        <f>VLOOKUP(B15,ФФП!$C$7:$W$52,13,0)</f>
        <v>9</v>
      </c>
      <c r="AD15" s="56">
        <f>VLOOKUP(B15,ФФП!$C$7:$W$52,12,0)</f>
        <v>7</v>
      </c>
      <c r="AE15" s="489">
        <f t="shared" si="7"/>
        <v>3.9</v>
      </c>
      <c r="AF15" s="299">
        <f t="shared" si="8"/>
        <v>6.4</v>
      </c>
      <c r="AG15" s="423" t="str">
        <f>VLOOKUP(B15,Форвард!$C$6:$Q$45,15,FALSE)</f>
        <v>17-21</v>
      </c>
      <c r="AH15" s="424">
        <f>VLOOKUP(AG15,Очки!$A$2:$B$83,2,0)</f>
        <v>14</v>
      </c>
      <c r="AI15" s="427">
        <f>VLOOKUP(B15,Форвард!$C$6:$Q$45,6,FALSE)</f>
        <v>6</v>
      </c>
      <c r="AJ15" s="427">
        <f>VLOOKUP(B15,Форвард!$C$6:$Q$45,14,FALSE)</f>
        <v>5</v>
      </c>
      <c r="AK15" s="425">
        <f t="shared" si="14"/>
        <v>3.6</v>
      </c>
      <c r="AL15" s="426">
        <f t="shared" si="15"/>
        <v>17.6</v>
      </c>
      <c r="AM15" s="69">
        <f t="shared" si="11"/>
        <v>74</v>
      </c>
      <c r="AO15" s="12"/>
      <c r="AR15" s="12"/>
      <c r="AS15" s="12"/>
    </row>
    <row r="16" spans="1:45" ht="13.5" thickBot="1">
      <c r="A16" s="17">
        <v>13</v>
      </c>
      <c r="B16" s="57" t="s">
        <v>34</v>
      </c>
      <c r="C16" s="488">
        <f>VLOOKUP(B16,'Профи-Опен'!$C$19:$V$56,20,0)</f>
        <v>31</v>
      </c>
      <c r="D16" s="489">
        <f>VLOOKUP(C16,Очки!$A$2:$B$84,2,0)</f>
        <v>2</v>
      </c>
      <c r="E16" s="490">
        <f>VLOOKUP(B16,'Профи-Опен'!$C$19:$V$56,10,0)</f>
        <v>7</v>
      </c>
      <c r="F16" s="490">
        <f>VLOOKUP(B16,'Профи-Опен'!$C$19:$V$56,19,0)</f>
        <v>2</v>
      </c>
      <c r="G16" s="489">
        <f t="shared" si="0"/>
        <v>1.4</v>
      </c>
      <c r="H16" s="491">
        <f t="shared" si="1"/>
        <v>3.4</v>
      </c>
      <c r="I16" s="66" t="str">
        <f>VLOOKUP(B16,ФФП!$C$7:$V$52,19,FALSE)</f>
        <v> 258</v>
      </c>
      <c r="J16" s="16" t="e">
        <f>VLOOKUP(I16,Очки!$A$2:$B$83,2,0)</f>
        <v>#N/A</v>
      </c>
      <c r="K16" s="16" t="str">
        <f>VLOOKUP($B16,ФФП!$C$7:$V$52,11,0)</f>
        <v>4 : 2</v>
      </c>
      <c r="L16" s="16" t="str">
        <f>VLOOKUP($B16,ФФП!$C$7:$V$52,10,0)</f>
        <v>3 : 2</v>
      </c>
      <c r="M16" s="51">
        <f t="shared" si="12"/>
        <v>2.5</v>
      </c>
      <c r="N16" s="428" t="e">
        <f t="shared" si="3"/>
        <v>#N/A</v>
      </c>
      <c r="O16" s="492">
        <f>VLOOKUP(B16,Предвидение!$C$13:$V$50,20,0)</f>
        <v>16</v>
      </c>
      <c r="P16" s="489">
        <f>VLOOKUP(O16,Очки!$A$2:$B$84,2,0)</f>
        <v>17</v>
      </c>
      <c r="Q16" s="494">
        <f>VLOOKUP(B16,Предвидение!$C$13:$V$50,10,0)</f>
        <v>7</v>
      </c>
      <c r="R16" s="494">
        <f>VLOOKUP(B16,Предвидение!$C$13:$V$50,19,0)</f>
        <v>6</v>
      </c>
      <c r="S16" s="489">
        <f t="shared" si="4"/>
        <v>4.3</v>
      </c>
      <c r="T16" s="495">
        <f t="shared" si="5"/>
        <v>21.3</v>
      </c>
      <c r="U16" s="492" t="str">
        <f>VLOOKUP(B16,Торпедо!$C$27:$U$56,19,0)</f>
        <v>24-27</v>
      </c>
      <c r="V16" s="489">
        <f>VLOOKUP(U16,Очки!$A$2:$B$84,2,0)</f>
        <v>7.5</v>
      </c>
      <c r="W16" s="548">
        <f>VLOOKUP($B16,Торпедо!$C$27:$U$56,10,0)</f>
        <v>5</v>
      </c>
      <c r="X16" s="494">
        <f>VLOOKUP($B16,Торпедо!$C$27:$U$56,18,0)</f>
        <v>4</v>
      </c>
      <c r="Y16" s="489">
        <f>ROUND(10*X16/(W16*2),1)</f>
        <v>4</v>
      </c>
      <c r="Z16" s="495">
        <f t="shared" si="13"/>
        <v>11.5</v>
      </c>
      <c r="AA16" s="65" t="str">
        <f>VLOOKUP(B16,ФФП!$C$64:$L$93,10,0)</f>
        <v>5-8</v>
      </c>
      <c r="AB16" s="489">
        <f>VLOOKUP(AA16,Очки!$A$2:$B$84,2,0)</f>
        <v>29</v>
      </c>
      <c r="AC16" s="56">
        <f>VLOOKUP(B16,ФФП!$C$7:$W$52,13,0)+1+VLOOKUP(B16,ФФП!$C$64:$L$93,3,0)</f>
        <v>13</v>
      </c>
      <c r="AD16" s="56">
        <f>VLOOKUP(B16,ФФП!$C$7:$W$52,12,0)+2+VLOOKUP(B16,ФФП!$C$64:$L$93,4,0)*2+VLOOKUP(B16,ФФП!$C$64:$L$93,5,0)</f>
        <v>18</v>
      </c>
      <c r="AE16" s="489">
        <f t="shared" si="7"/>
        <v>6.9</v>
      </c>
      <c r="AF16" s="299">
        <f t="shared" si="8"/>
        <v>35.9</v>
      </c>
      <c r="AG16" s="66" t="str">
        <f>VLOOKUP(B16,Форвард!$C$50:$Q$71,15,FALSE)</f>
        <v>5-8</v>
      </c>
      <c r="AH16" s="16">
        <f>VLOOKUP(AG16,Очки!$A$2:$B$83,2,0)</f>
        <v>29</v>
      </c>
      <c r="AI16" s="15">
        <f>VLOOKUP(B16,Форвард!$C$6:$Q$45,6,FALSE)+VLOOKUP(B16,Форвард!$C$50:$Q$71,6,FALSE)</f>
        <v>12</v>
      </c>
      <c r="AJ16" s="15">
        <f>VLOOKUP(B16,Форвард!$C$6:$Q$45,14,FALSE)+VLOOKUP(B16,Форвард!$C$50:$Q$71,14,FALSE)</f>
        <v>19</v>
      </c>
      <c r="AK16" s="51">
        <f t="shared" si="14"/>
        <v>8.4</v>
      </c>
      <c r="AL16" s="138">
        <f t="shared" si="15"/>
        <v>37.4</v>
      </c>
      <c r="AM16" s="69">
        <f t="shared" si="11"/>
        <v>72.1</v>
      </c>
      <c r="AO16" s="12"/>
      <c r="AR16" s="12"/>
      <c r="AS16" s="12"/>
    </row>
    <row r="17" spans="1:45" ht="13.5" thickBot="1">
      <c r="A17" s="14">
        <v>14</v>
      </c>
      <c r="B17" s="58" t="s">
        <v>303</v>
      </c>
      <c r="C17" s="488">
        <f>VLOOKUP(B17,'Профи-Опен'!$C$19:$V$56,20,0)</f>
        <v>28</v>
      </c>
      <c r="D17" s="489">
        <f>VLOOKUP(C17,Очки!$A$2:$B$84,2,0)</f>
        <v>5</v>
      </c>
      <c r="E17" s="490">
        <f>VLOOKUP(B17,'Профи-Опен'!$C$19:$V$56,10,0)</f>
        <v>7</v>
      </c>
      <c r="F17" s="490">
        <f>VLOOKUP(B17,'Профи-Опен'!$C$19:$V$56,19,0)</f>
        <v>4</v>
      </c>
      <c r="G17" s="489">
        <f t="shared" si="0"/>
        <v>2.9</v>
      </c>
      <c r="H17" s="491">
        <f t="shared" si="1"/>
        <v>7.9</v>
      </c>
      <c r="I17" s="66" t="str">
        <f>VLOOKUP(B17,ФФП!$C$7:$V$52,19,FALSE)</f>
        <v> 267</v>
      </c>
      <c r="J17" s="16" t="e">
        <f>VLOOKUP(I17,Очки!$A$2:$B$83,2,0)</f>
        <v>#N/A</v>
      </c>
      <c r="K17" s="16" t="str">
        <f>VLOOKUP($B17,ФФП!$C$7:$V$52,11,0)</f>
        <v>0 : 4</v>
      </c>
      <c r="L17" s="16" t="str">
        <f>VLOOKUP($B17,ФФП!$C$7:$V$52,10,0)</f>
        <v>4 : 1</v>
      </c>
      <c r="M17" s="51">
        <f t="shared" si="12"/>
        <v>200.9</v>
      </c>
      <c r="N17" s="138" t="e">
        <f t="shared" si="3"/>
        <v>#N/A</v>
      </c>
      <c r="O17" s="492">
        <f>VLOOKUP(B17,Предвидение!$C$13:$V$50,20,0)</f>
        <v>16</v>
      </c>
      <c r="P17" s="489">
        <f>VLOOKUP(O17,Очки!$A$2:$B$84,2,0)</f>
        <v>17</v>
      </c>
      <c r="Q17" s="494">
        <f>VLOOKUP(B17,Предвидение!$C$13:$V$50,10,0)</f>
        <v>7</v>
      </c>
      <c r="R17" s="494">
        <f>VLOOKUP(B17,Предвидение!$C$13:$V$50,19,0)</f>
        <v>8</v>
      </c>
      <c r="S17" s="489">
        <f t="shared" si="4"/>
        <v>5.7</v>
      </c>
      <c r="T17" s="495">
        <f t="shared" si="5"/>
        <v>22.7</v>
      </c>
      <c r="U17" s="492">
        <f>VLOOKUP(B17,Торпедо!$C$58:$D$68,2,0)</f>
        <v>20</v>
      </c>
      <c r="V17" s="489">
        <f>VLOOKUP(U17,Очки!$A$2:$B$84,2,0)</f>
        <v>13</v>
      </c>
      <c r="W17" s="494"/>
      <c r="X17" s="494"/>
      <c r="Y17" s="496"/>
      <c r="Z17" s="495">
        <f t="shared" si="13"/>
        <v>13</v>
      </c>
      <c r="AA17" s="65" t="str">
        <f>VLOOKUP(B17,ФФП!$C$64:$L$93,10,0)</f>
        <v>9-16</v>
      </c>
      <c r="AB17" s="489">
        <f>VLOOKUP(AA17,Очки!$A$2:$B$84,2,0)</f>
        <v>20.5</v>
      </c>
      <c r="AC17" s="56">
        <f>VLOOKUP(B17,ФФП!$C$7:$W$52,13,0)+VLOOKUP(B17,ФФП!$C$64:$L$93,3,0)</f>
        <v>12</v>
      </c>
      <c r="AD17" s="56">
        <f>VLOOKUP(B17,ФФП!$C$7:$W$52,12,0)+VLOOKUP(B17,ФФП!$C$64:$L$93,4,0)*2+VLOOKUP(B17,ФФП!$C$64:$L$93,5,0)</f>
        <v>14</v>
      </c>
      <c r="AE17" s="489">
        <f t="shared" si="7"/>
        <v>5.8</v>
      </c>
      <c r="AF17" s="299">
        <f t="shared" si="8"/>
        <v>26.3</v>
      </c>
      <c r="AG17" s="66"/>
      <c r="AH17" s="16"/>
      <c r="AI17" s="15"/>
      <c r="AJ17" s="15"/>
      <c r="AK17" s="51"/>
      <c r="AL17" s="138"/>
      <c r="AM17" s="69">
        <f t="shared" si="11"/>
        <v>69.89999999999999</v>
      </c>
      <c r="AO17" s="12"/>
      <c r="AR17" s="12"/>
      <c r="AS17" s="12"/>
    </row>
    <row r="18" spans="1:45" ht="13.5" thickBot="1">
      <c r="A18" s="17">
        <v>15</v>
      </c>
      <c r="B18" s="529" t="s">
        <v>13</v>
      </c>
      <c r="C18" s="488" t="str">
        <f>VLOOKUP(B18,'Профи-Опен'!$P$60:$AC$75,14,0)</f>
        <v>5-8</v>
      </c>
      <c r="D18" s="489">
        <f>VLOOKUP(C18,Очки!$A$2:$B$84,2,0)</f>
        <v>29</v>
      </c>
      <c r="E18" s="490">
        <f>VLOOKUP(B18,'Профи-Опен'!$C$7:$Q$16,6,0)+VLOOKUP(B18,'Профи-Опен'!$C$19:$V$56,10,0)+VLOOKUP(B18,'Профи-Опен'!$P$60:$AC$75,4,0)</f>
        <v>11</v>
      </c>
      <c r="F18" s="490">
        <f>VLOOKUP(B18,'Профи-Опен'!$C$7:$Q$17,15,0)+VLOOKUP(B18,'Профи-Опен'!$C$19:$V$56,19,0)+VLOOKUP(B18,'Профи-Опен'!$P$60:$AC$75,13,0)</f>
        <v>17</v>
      </c>
      <c r="G18" s="489">
        <f t="shared" si="0"/>
        <v>7.7</v>
      </c>
      <c r="H18" s="491">
        <f t="shared" si="1"/>
        <v>36.7</v>
      </c>
      <c r="I18" s="66" t="str">
        <f>VLOOKUP(B18,ФФП!$C$7:$V$52,19,FALSE)</f>
        <v> 251</v>
      </c>
      <c r="J18" s="16" t="e">
        <f>VLOOKUP(I18,Очки!$A$2:$B$83,2,0)</f>
        <v>#N/A</v>
      </c>
      <c r="K18" s="16" t="str">
        <f>VLOOKUP($B18,ФФП!$C$7:$V$52,11,0)</f>
        <v>5 : 1</v>
      </c>
      <c r="L18" s="16" t="str">
        <f>VLOOKUP($B18,ФФП!$C$7:$V$52,10,0)</f>
        <v>2 : 3</v>
      </c>
      <c r="M18" s="51">
        <f t="shared" si="12"/>
        <v>1.4</v>
      </c>
      <c r="N18" s="428" t="e">
        <f t="shared" si="3"/>
        <v>#N/A</v>
      </c>
      <c r="O18" s="492"/>
      <c r="P18" s="493"/>
      <c r="Q18" s="494"/>
      <c r="R18" s="494"/>
      <c r="S18" s="489"/>
      <c r="T18" s="495">
        <f t="shared" si="5"/>
        <v>0</v>
      </c>
      <c r="U18" s="492">
        <f>VLOOKUP(B18,Торпедо!$C$27:$U$56,19,0)</f>
        <v>20</v>
      </c>
      <c r="V18" s="489">
        <f>VLOOKUP(U18,Очки!$A$2:$B$84,2,0)</f>
        <v>13</v>
      </c>
      <c r="W18" s="548">
        <f>VLOOKUP($B18,Торпедо!$C$6:$U$23,10,0)+VLOOKUP($B18,Торпедо!$C$27:$U$56,10,0)</f>
        <v>11</v>
      </c>
      <c r="X18" s="546">
        <f>VLOOKUP($B18,Торпедо!$C$6:$U$23,18,0)+VLOOKUP($B18,Торпедо!$C$27:$U$56,18,0)</f>
        <v>12</v>
      </c>
      <c r="Y18" s="489">
        <f>ROUND(10*X18/(W18*2),1)</f>
        <v>5.5</v>
      </c>
      <c r="Z18" s="495">
        <f t="shared" si="13"/>
        <v>18.5</v>
      </c>
      <c r="AA18" s="65" t="str">
        <f>VLOOKUP(B18,ФФП!$C$7:$W$52,21,0)</f>
        <v>21-24</v>
      </c>
      <c r="AB18" s="489">
        <f>VLOOKUP(AA18,Очки!$A$2:$B$84,2,0)</f>
        <v>10.5</v>
      </c>
      <c r="AC18" s="56">
        <f>VLOOKUP(B18,ФФП!$C$7:$W$52,13,0)</f>
        <v>9</v>
      </c>
      <c r="AD18" s="56">
        <f>VLOOKUP(B18,ФФП!$C$7:$W$52,12,0)</f>
        <v>7</v>
      </c>
      <c r="AE18" s="489">
        <f t="shared" si="7"/>
        <v>3.9</v>
      </c>
      <c r="AF18" s="299">
        <f t="shared" si="8"/>
        <v>14.4</v>
      </c>
      <c r="AG18" s="66" t="str">
        <f>VLOOKUP(B18,Форвард!$C$6:$Q$45,15,FALSE)</f>
        <v>22-28</v>
      </c>
      <c r="AH18" s="16">
        <f>VLOOKUP(AG18,Очки!$A$2:$B$83,2,0)</f>
        <v>8</v>
      </c>
      <c r="AI18" s="15">
        <f>VLOOKUP(B18,Форвард!$C$6:$Q$45,6,FALSE)</f>
        <v>6</v>
      </c>
      <c r="AJ18" s="15">
        <f>VLOOKUP(B18,Форвард!$C$6:$Q$45,14,FALSE)</f>
        <v>3</v>
      </c>
      <c r="AK18" s="51">
        <f>ROUND(((20-$AK$2+AI18)*AJ18/(AI18*3)/2),1)</f>
        <v>2.2</v>
      </c>
      <c r="AL18" s="138">
        <f>AH18+AK18</f>
        <v>10.2</v>
      </c>
      <c r="AM18" s="69">
        <f t="shared" si="11"/>
        <v>69.60000000000001</v>
      </c>
      <c r="AO18" s="12"/>
      <c r="AR18" s="12"/>
      <c r="AS18" s="12"/>
    </row>
    <row r="19" spans="1:45" ht="13.5" thickBot="1">
      <c r="A19" s="14">
        <v>16</v>
      </c>
      <c r="B19" s="58" t="s">
        <v>28</v>
      </c>
      <c r="C19" s="488">
        <f>VLOOKUP(B19,'Профи-Опен'!$C$19:$V$56,20,0)</f>
        <v>17</v>
      </c>
      <c r="D19" s="489">
        <f>VLOOKUP(C19,Очки!$A$2:$B$84,2,0)</f>
        <v>16</v>
      </c>
      <c r="E19" s="490">
        <f>VLOOKUP(B19,'Профи-Опен'!$C$19:$V$56,10,0)</f>
        <v>7</v>
      </c>
      <c r="F19" s="490">
        <f>VLOOKUP(B19,'Профи-Опен'!$C$19:$V$56,19,0)</f>
        <v>7</v>
      </c>
      <c r="G19" s="489">
        <f t="shared" si="0"/>
        <v>5</v>
      </c>
      <c r="H19" s="491">
        <f t="shared" si="1"/>
        <v>21</v>
      </c>
      <c r="I19" s="66" t="str">
        <f>VLOOKUP(B19,ФФП!$C$7:$V$52,19,FALSE)</f>
        <v> 242</v>
      </c>
      <c r="J19" s="16" t="e">
        <f>VLOOKUP(I19,Очки!$A$2:$B$83,2,0)</f>
        <v>#N/A</v>
      </c>
      <c r="K19" s="16" t="str">
        <f>VLOOKUP($B19,ФФП!$C$7:$V$52,11,0)</f>
        <v>3 : 1</v>
      </c>
      <c r="L19" s="16" t="str">
        <f>VLOOKUP($B19,ФФП!$C$7:$V$52,10,0)</f>
        <v>3 : 2</v>
      </c>
      <c r="M19" s="51">
        <f t="shared" si="12"/>
        <v>3.4</v>
      </c>
      <c r="N19" s="428" t="e">
        <f t="shared" si="3"/>
        <v>#N/A</v>
      </c>
      <c r="O19" s="492">
        <f>VLOOKUP(B19,Предвидение!$C$13:$V$50,20,0)</f>
        <v>32</v>
      </c>
      <c r="P19" s="489">
        <f>VLOOKUP(O19,Очки!$A$2:$B$84,2,0)</f>
        <v>1</v>
      </c>
      <c r="Q19" s="494">
        <f>VLOOKUP(B19,Предвидение!$C$13:$V$50,10,0)</f>
        <v>7</v>
      </c>
      <c r="R19" s="494">
        <f>VLOOKUP(B19,Предвидение!$C$13:$V$50,19,0)</f>
        <v>6</v>
      </c>
      <c r="S19" s="489">
        <f>ROUND(10*R19/(Q19*2),1)</f>
        <v>4.3</v>
      </c>
      <c r="T19" s="495">
        <f t="shared" si="5"/>
        <v>5.3</v>
      </c>
      <c r="U19" s="492" t="str">
        <f>VLOOKUP(B19,Торпедо!$C$27:$U$56,19,0)</f>
        <v>28-31</v>
      </c>
      <c r="V19" s="489">
        <f>VLOOKUP(U19,Очки!$A$2:$B$84,2,0)</f>
        <v>3.5</v>
      </c>
      <c r="W19" s="548">
        <f>VLOOKUP($B19,Торпедо!$C$6:$U$23,10,0)+VLOOKUP($B19,Торпедо!$C$27:$U$56,10,0)</f>
        <v>12</v>
      </c>
      <c r="X19" s="546">
        <f>VLOOKUP($B19,Торпедо!$C$6:$U$23,18,0)+VLOOKUP($B19,Торпедо!$C$27:$U$56,18,0)</f>
        <v>7</v>
      </c>
      <c r="Y19" s="489">
        <f>ROUND(10*X19/(W19*2),1)</f>
        <v>2.9</v>
      </c>
      <c r="Z19" s="495">
        <f t="shared" si="13"/>
        <v>6.4</v>
      </c>
      <c r="AA19" s="65" t="str">
        <f>VLOOKUP(B19,ФФП!$C$64:$L$93,10,0)</f>
        <v>5-8</v>
      </c>
      <c r="AB19" s="489">
        <f>VLOOKUP(AA19,Очки!$A$2:$B$84,2,0)</f>
        <v>29</v>
      </c>
      <c r="AC19" s="56">
        <f>VLOOKUP(B19,ФФП!$C$7:$W$52,13,0)+VLOOKUP(B19,ФФП!$C$64:$L$93,3,0)</f>
        <v>11</v>
      </c>
      <c r="AD19" s="56">
        <f>VLOOKUP(B19,ФФП!$C$7:$W$52,12,0)+VLOOKUP(B19,ФФП!$C$64:$L$93,4,0)*2+VLOOKUP(B19,ФФП!$C$64:$L$93,5,0)</f>
        <v>14</v>
      </c>
      <c r="AE19" s="489">
        <f t="shared" si="7"/>
        <v>6.4</v>
      </c>
      <c r="AF19" s="299">
        <f t="shared" si="8"/>
        <v>35.4</v>
      </c>
      <c r="AG19" s="66" t="str">
        <f>VLOOKUP(B19,Форвард!$C$50:$Q$71,15,FALSE)</f>
        <v>9-12</v>
      </c>
      <c r="AH19" s="16">
        <f>VLOOKUP(AG19,Очки!$A$2:$B$83,2,0)</f>
        <v>22.5</v>
      </c>
      <c r="AI19" s="15">
        <f>VLOOKUP(B19,Форвард!$C$6:$Q$45,6,FALSE)+VLOOKUP(B19,Форвард!$C$50:$Q$71,6,FALSE)</f>
        <v>12</v>
      </c>
      <c r="AJ19" s="15">
        <f>VLOOKUP(B19,Форвард!$C$6:$Q$45,14,FALSE)+VLOOKUP(B19,Форвард!$C$50:$Q$71,14,FALSE)</f>
        <v>12</v>
      </c>
      <c r="AK19" s="51">
        <f>ROUND(((20-$AK$2+AI19)*AJ19/(AI19*3)/2),1)</f>
        <v>5.3</v>
      </c>
      <c r="AL19" s="138">
        <f>AH19+AK19</f>
        <v>27.8</v>
      </c>
      <c r="AM19" s="69">
        <f t="shared" si="11"/>
        <v>68.1</v>
      </c>
      <c r="AO19" s="12"/>
      <c r="AR19" s="12"/>
      <c r="AS19" s="12"/>
    </row>
    <row r="20" spans="1:45" ht="13.5" thickBot="1">
      <c r="A20" s="17">
        <v>17</v>
      </c>
      <c r="B20" s="58" t="s">
        <v>315</v>
      </c>
      <c r="C20" s="488" t="str">
        <f>VLOOKUP(B20,'Профи-Опен'!$P$60:$AC$75,14,0)</f>
        <v>9-16</v>
      </c>
      <c r="D20" s="489">
        <f>VLOOKUP(C20,Очки!$A$2:$B$84,2,0)</f>
        <v>20.5</v>
      </c>
      <c r="E20" s="490">
        <f>VLOOKUP(B20,'Профи-Опен'!$C$19:$V$56,10,0)+VLOOKUP(B20,'Профи-Опен'!$P$60:$AC$75,4,0)</f>
        <v>8</v>
      </c>
      <c r="F20" s="490">
        <f>VLOOKUP(B20,'Профи-Опен'!$C$19:$V$56,19,0)+VLOOKUP(B20,'Профи-Опен'!$P$60:$AC$75,13,0)</f>
        <v>8</v>
      </c>
      <c r="G20" s="489">
        <f t="shared" si="0"/>
        <v>5</v>
      </c>
      <c r="H20" s="491">
        <f t="shared" si="1"/>
        <v>25.5</v>
      </c>
      <c r="I20" s="66" t="str">
        <f>VLOOKUP(B20,ФФП!$C$7:$V$52,19,FALSE)</f>
        <v> 252</v>
      </c>
      <c r="J20" s="16" t="e">
        <f>VLOOKUP(I20,Очки!$A$2:$B$83,2,0)</f>
        <v>#N/A</v>
      </c>
      <c r="K20" s="16" t="str">
        <f>VLOOKUP($B20,ФФП!$C$7:$V$52,11,0)</f>
        <v>3 : 2</v>
      </c>
      <c r="L20" s="16">
        <f>VLOOKUP($B20,ФФП!$C$7:$V$52,10,0)</f>
        <v>0</v>
      </c>
      <c r="M20" s="51">
        <f t="shared" si="12"/>
        <v>0</v>
      </c>
      <c r="N20" s="428" t="e">
        <f t="shared" si="3"/>
        <v>#N/A</v>
      </c>
      <c r="O20" s="492">
        <f>VLOOKUP(B20,Предвидение!$C$13:$V$50,20,0)</f>
        <v>16</v>
      </c>
      <c r="P20" s="489">
        <f>VLOOKUP(O20,Очки!$A$2:$B$84,2,0)</f>
        <v>17</v>
      </c>
      <c r="Q20" s="494">
        <f>VLOOKUP(B20,Предвидение!$C$13:$V$50,10,0)</f>
        <v>7</v>
      </c>
      <c r="R20" s="494">
        <f>VLOOKUP(B20,Предвидение!$C$13:$V$50,19,0)</f>
        <v>12</v>
      </c>
      <c r="S20" s="489">
        <f>ROUND(10*R20/(Q20*2),1)</f>
        <v>8.6</v>
      </c>
      <c r="T20" s="495">
        <f t="shared" si="5"/>
        <v>25.6</v>
      </c>
      <c r="U20" s="492" t="str">
        <f>VLOOKUP(B20,Торпедо!$C$27:$U$56,19,0)</f>
        <v>24-27</v>
      </c>
      <c r="V20" s="489">
        <f>VLOOKUP(U20,Очки!$A$2:$B$84,2,0)</f>
        <v>7.5</v>
      </c>
      <c r="W20" s="548">
        <f>VLOOKUP($B20,Торпедо!$C$27:$U$56,10,0)</f>
        <v>5</v>
      </c>
      <c r="X20" s="494">
        <f>VLOOKUP($B20,Торпедо!$C$27:$U$56,18,0)</f>
        <v>4</v>
      </c>
      <c r="Y20" s="489">
        <f>ROUND(10*X20/(W20*2),1)</f>
        <v>4</v>
      </c>
      <c r="Z20" s="495">
        <f t="shared" si="13"/>
        <v>11.5</v>
      </c>
      <c r="AA20" s="65" t="str">
        <f>VLOOKUP(B20,ФФП!$C$7:$W$52,21,0)</f>
        <v>33-36</v>
      </c>
      <c r="AB20" s="489">
        <f>VLOOKUP(AA20,Очки!$A$2:$B$84,2,0)</f>
        <v>0</v>
      </c>
      <c r="AC20" s="56">
        <f>VLOOKUP(B20,ФФП!$C$7:$W$52,13,0)</f>
        <v>9</v>
      </c>
      <c r="AD20" s="56">
        <f>VLOOKUP(B20,ФФП!$C$7:$W$52,12,0)</f>
        <v>6</v>
      </c>
      <c r="AE20" s="489">
        <f t="shared" si="7"/>
        <v>3.3</v>
      </c>
      <c r="AF20" s="299">
        <f t="shared" si="8"/>
        <v>3.3</v>
      </c>
      <c r="AG20" s="66">
        <f>VLOOKUP(B20,Форвард!$C$76:$Q$79,15,FALSE)</f>
        <v>2</v>
      </c>
      <c r="AH20" s="16">
        <f>VLOOKUP(AG20,Очки!$A$2:$B$83,2,0)</f>
        <v>40</v>
      </c>
      <c r="AI20" s="15">
        <f>VLOOKUP(B20,Форвард!$C$6:$Q$45,6,FALSE)+VLOOKUP(B20,Форвард!$C$50:$Q$71,6,FALSE)+VLOOKUP(B20,Форвард!$C$76:$Q$79,6,FALSE)</f>
        <v>18</v>
      </c>
      <c r="AJ20" s="15">
        <f>VLOOKUP(B20,Форвард!$C$6:$Q$45,14,FALSE)+VLOOKUP(B20,Форвард!$C$50:$Q$71,14,FALSE)+VLOOKUP(B20,Форвард!$C$76:$Q$79,14,FALSE)</f>
        <v>38</v>
      </c>
      <c r="AK20" s="51">
        <f>ROUND(((20-$AK$2+AI20)*AJ20/(AI20*3)/2),1)</f>
        <v>13.4</v>
      </c>
      <c r="AL20" s="138">
        <f>AH20+AK20</f>
        <v>53.4</v>
      </c>
      <c r="AM20" s="69">
        <f t="shared" si="11"/>
        <v>65.9</v>
      </c>
      <c r="AO20" s="12"/>
      <c r="AR20" s="12"/>
      <c r="AS20" s="12"/>
    </row>
    <row r="21" spans="1:45" ht="13.5" thickBot="1">
      <c r="A21" s="14">
        <v>18</v>
      </c>
      <c r="B21" s="57" t="s">
        <v>118</v>
      </c>
      <c r="C21" s="488" t="str">
        <f>VLOOKUP(B21,'Профи-Опен'!$P$60:$AC$75,14,0)</f>
        <v>9-16</v>
      </c>
      <c r="D21" s="489">
        <f>VLOOKUP(C21,Очки!$A$2:$B$84,2,0)</f>
        <v>20.5</v>
      </c>
      <c r="E21" s="490">
        <f>VLOOKUP(B21,'Профи-Опен'!$C$19:$V$56,10,0)+VLOOKUP(B21,'Профи-Опен'!$P$60:$AC$75,4,0)</f>
        <v>8</v>
      </c>
      <c r="F21" s="490">
        <f>VLOOKUP(B21,'Профи-Опен'!$C$19:$V$56,19,0)+VLOOKUP(B21,'Профи-Опен'!$P$60:$AC$75,13,0)</f>
        <v>7</v>
      </c>
      <c r="G21" s="489">
        <f t="shared" si="0"/>
        <v>4.4</v>
      </c>
      <c r="H21" s="491">
        <f t="shared" si="1"/>
        <v>24.9</v>
      </c>
      <c r="I21" s="66" t="e">
        <f>VLOOKUP(B21,ФФП!#REF!,23,FALSE)</f>
        <v>#REF!</v>
      </c>
      <c r="J21" s="16" t="e">
        <f>VLOOKUP(I21,Очки!$A$2:$B$83,2,0)</f>
        <v>#REF!</v>
      </c>
      <c r="K21" s="16" t="e">
        <f>VLOOKUP($B21,ФФП!$C$7:$V$52,11,0)+VLOOKUP($B21,ФФП!#REF!,11,0)+VLOOKUP($B21,ФФП!#REF!,15,0)</f>
        <v>#REF!</v>
      </c>
      <c r="L21" s="16" t="e">
        <f>VLOOKUP($B21,ФФП!$C$7:$V$52,10,0)+VLOOKUP($B21,ФФП!#REF!,10,0)+VLOOKUP($B21,ФФП!#REF!,14,0)</f>
        <v>#REF!</v>
      </c>
      <c r="M21" s="51" t="e">
        <f t="shared" si="12"/>
        <v>#REF!</v>
      </c>
      <c r="N21" s="138" t="e">
        <f t="shared" si="3"/>
        <v>#REF!</v>
      </c>
      <c r="O21" s="492">
        <f>VLOOKUP(B21,Предвидение!$C$13:$V$50,20,0)</f>
        <v>16</v>
      </c>
      <c r="P21" s="489">
        <f>VLOOKUP(O21,Очки!$A$2:$B$84,2,0)</f>
        <v>17</v>
      </c>
      <c r="Q21" s="494">
        <f>VLOOKUP(B21,Предвидение!$C$13:$V$50,10,0)</f>
        <v>7</v>
      </c>
      <c r="R21" s="494">
        <f>VLOOKUP(B21,Предвидение!$C$13:$V$50,19,0)</f>
        <v>8</v>
      </c>
      <c r="S21" s="489">
        <f>ROUND(10*R21/(Q21*2),1)</f>
        <v>5.7</v>
      </c>
      <c r="T21" s="495">
        <f t="shared" si="5"/>
        <v>22.7</v>
      </c>
      <c r="U21" s="492"/>
      <c r="V21" s="489"/>
      <c r="W21" s="494"/>
      <c r="X21" s="494"/>
      <c r="Y21" s="496"/>
      <c r="Z21" s="497"/>
      <c r="AA21" s="65" t="str">
        <f>VLOOKUP(B21,ФФП!$C$7:$W$52,21,0)</f>
        <v>25-28</v>
      </c>
      <c r="AB21" s="489">
        <f>VLOOKUP(AA21,Очки!$A$2:$B$84,2,0)</f>
        <v>6.5</v>
      </c>
      <c r="AC21" s="56">
        <f>VLOOKUP(B21,ФФП!$C$7:$W$52,13,0)</f>
        <v>9</v>
      </c>
      <c r="AD21" s="56">
        <f>VLOOKUP(B21,ФФП!$C$7:$W$52,12,0)</f>
        <v>9</v>
      </c>
      <c r="AE21" s="489">
        <f t="shared" si="7"/>
        <v>5</v>
      </c>
      <c r="AF21" s="299">
        <f t="shared" si="8"/>
        <v>11.5</v>
      </c>
      <c r="AG21" s="66"/>
      <c r="AH21" s="16"/>
      <c r="AI21" s="15"/>
      <c r="AJ21" s="15"/>
      <c r="AK21" s="51"/>
      <c r="AL21" s="138"/>
      <c r="AM21" s="69">
        <f t="shared" si="11"/>
        <v>59.099999999999994</v>
      </c>
      <c r="AO21" s="12"/>
      <c r="AR21" s="12"/>
      <c r="AS21" s="12"/>
    </row>
    <row r="22" spans="1:45" ht="13.5" thickBot="1">
      <c r="A22" s="17">
        <v>19</v>
      </c>
      <c r="B22" s="57" t="s">
        <v>307</v>
      </c>
      <c r="C22" s="488">
        <f>VLOOKUP(B22,'Профи-Опен'!$C$19:$V$56,20,0)</f>
        <v>18</v>
      </c>
      <c r="D22" s="489">
        <f>VLOOKUP(C22,Очки!$A$2:$B$84,2,0)</f>
        <v>15</v>
      </c>
      <c r="E22" s="490">
        <f>VLOOKUP(B22,'Профи-Опен'!$C$19:$V$56,10,0)</f>
        <v>7</v>
      </c>
      <c r="F22" s="490">
        <f>VLOOKUP(B22,'Профи-Опен'!$C$19:$V$56,19,0)</f>
        <v>7</v>
      </c>
      <c r="G22" s="489">
        <f t="shared" si="0"/>
        <v>5</v>
      </c>
      <c r="H22" s="491">
        <f t="shared" si="1"/>
        <v>20</v>
      </c>
      <c r="I22" s="66" t="e">
        <f>VLOOKUP(B22,ФФП!#REF!,19,FALSE)</f>
        <v>#REF!</v>
      </c>
      <c r="J22" s="16" t="e">
        <f>VLOOKUP(I22,Очки!$A$2:$B$83,2,0)</f>
        <v>#REF!</v>
      </c>
      <c r="K22" s="16" t="e">
        <f>VLOOKUP($B22,ФФП!$C$7:$V$52,11,0)+VLOOKUP($B22,ФФП!#REF!,11,0)</f>
        <v>#REF!</v>
      </c>
      <c r="L22" s="16" t="e">
        <f>VLOOKUP($B22,ФФП!$C$7:$V$52,10,0)+VLOOKUP($B22,ФФП!#REF!,10,0)</f>
        <v>#REF!</v>
      </c>
      <c r="M22" s="51" t="e">
        <f t="shared" si="12"/>
        <v>#REF!</v>
      </c>
      <c r="N22" s="428" t="e">
        <f t="shared" si="3"/>
        <v>#REF!</v>
      </c>
      <c r="O22" s="492">
        <f>VLOOKUP(B22,Предвидение!$C$13:$V$50,20,0)</f>
        <v>32</v>
      </c>
      <c r="P22" s="489">
        <f>VLOOKUP(O22,Очки!$A$2:$B$84,2,0)</f>
        <v>1</v>
      </c>
      <c r="Q22" s="494">
        <f>VLOOKUP(B22,Предвидение!$C$13:$V$50,10,0)</f>
        <v>7</v>
      </c>
      <c r="R22" s="494">
        <f>VLOOKUP(B22,Предвидение!$C$13:$V$50,19,0)</f>
        <v>6</v>
      </c>
      <c r="S22" s="489">
        <f>ROUND(10*R22/(Q22*2),1)</f>
        <v>4.3</v>
      </c>
      <c r="T22" s="495">
        <f t="shared" si="5"/>
        <v>5.3</v>
      </c>
      <c r="U22" s="492">
        <f>VLOOKUP(B22,Торпедо!$C$58:$D$68,2,0)</f>
        <v>20</v>
      </c>
      <c r="V22" s="489">
        <f>VLOOKUP(U22,Очки!$A$2:$B$84,2,0)</f>
        <v>13</v>
      </c>
      <c r="W22" s="494"/>
      <c r="X22" s="494"/>
      <c r="Y22" s="496"/>
      <c r="Z22" s="495">
        <f aca="true" t="shared" si="16" ref="Z22:Z33">V22+Y22</f>
        <v>13</v>
      </c>
      <c r="AA22" s="65" t="str">
        <f>VLOOKUP(B22,ФФП!$C$7:$W$52,21,0)</f>
        <v>17-20</v>
      </c>
      <c r="AB22" s="489">
        <f>VLOOKUP(AA22,Очки!$A$2:$B$84,2,0)</f>
        <v>14.5</v>
      </c>
      <c r="AC22" s="56">
        <f>VLOOKUP(B22,ФФП!$C$7:$W$52,13,0)+1</f>
        <v>10</v>
      </c>
      <c r="AD22" s="56">
        <f>VLOOKUP(B22,ФФП!$C$7:$W$52,12,0)+1</f>
        <v>11</v>
      </c>
      <c r="AE22" s="489">
        <f t="shared" si="7"/>
        <v>5.5</v>
      </c>
      <c r="AF22" s="299">
        <f t="shared" si="8"/>
        <v>20</v>
      </c>
      <c r="AG22" s="66">
        <f>VLOOKUP(B22,Форвард!$C$76:$Q$79,15,FALSE)</f>
        <v>1</v>
      </c>
      <c r="AH22" s="16">
        <f>VLOOKUP(AG22,Очки!$A$2:$B$83,2,0)</f>
        <v>45</v>
      </c>
      <c r="AI22" s="15">
        <f>VLOOKUP(B22,Форвард!$C$6:$Q$45,6,FALSE)+VLOOKUP(B22,Форвард!$C$50:$Q$71,6,FALSE)+VLOOKUP(B22,Форвард!$C$76:$Q$79,6,FALSE)</f>
        <v>18</v>
      </c>
      <c r="AJ22" s="15">
        <f>VLOOKUP(B22,Форвард!$C$6:$Q$45,14,FALSE)+VLOOKUP(B22,Форвард!$C$50:$Q$71,14,FALSE)+VLOOKUP(B22,Форвард!$C$76:$Q$79,14,FALSE)</f>
        <v>43</v>
      </c>
      <c r="AK22" s="51">
        <f>ROUND(((20-$AK$2+AI22)*AJ22/(AI22*3)/2),1)</f>
        <v>15.1</v>
      </c>
      <c r="AL22" s="371">
        <f>AH22+AK22</f>
        <v>60.1</v>
      </c>
      <c r="AM22" s="69">
        <f t="shared" si="11"/>
        <v>58.3</v>
      </c>
      <c r="AO22" s="12"/>
      <c r="AR22" s="12"/>
      <c r="AS22" s="12"/>
    </row>
    <row r="23" spans="1:41" ht="13.5" thickBot="1">
      <c r="A23" s="14">
        <v>20</v>
      </c>
      <c r="B23" s="487" t="s">
        <v>302</v>
      </c>
      <c r="C23" s="488" t="str">
        <f>VLOOKUP(B23,'Профи-Опен'!$P$60:$AC$75,14,0)</f>
        <v>9-16</v>
      </c>
      <c r="D23" s="489">
        <f>VLOOKUP(C23,Очки!$A$2:$B$84,2,0)</f>
        <v>20.5</v>
      </c>
      <c r="E23" s="490">
        <f>VLOOKUP(B23,'Профи-Опен'!$C$19:$V$56,10,0)+VLOOKUP(B23,'Профи-Опен'!$P$60:$AC$75,4,0)</f>
        <v>8</v>
      </c>
      <c r="F23" s="490">
        <f>VLOOKUP(B23,'Профи-Опен'!$C$19:$V$56,19,0)+VLOOKUP(B23,'Профи-Опен'!$P$60:$AC$75,13,0)</f>
        <v>9</v>
      </c>
      <c r="G23" s="489">
        <f t="shared" si="0"/>
        <v>5.6</v>
      </c>
      <c r="H23" s="491">
        <f t="shared" si="1"/>
        <v>26.1</v>
      </c>
      <c r="I23" s="66" t="e">
        <f>VLOOKUP(B23,ФФП!#REF!,23,FALSE)</f>
        <v>#REF!</v>
      </c>
      <c r="J23" s="16" t="e">
        <f>VLOOKUP(I23,Очки!$A$2:$B$83,2,0)</f>
        <v>#REF!</v>
      </c>
      <c r="K23" s="16" t="e">
        <f>VLOOKUP($B23,ФФП!$C$7:$V$52,11,0)+VLOOKUP($B23,ФФП!#REF!,11,0)+VLOOKUP($B23,ФФП!#REF!,15,0)</f>
        <v>#VALUE!</v>
      </c>
      <c r="L23" s="16" t="e">
        <f>VLOOKUP($B23,ФФП!$C$7:$V$52,10,0)+VLOOKUP($B23,ФФП!#REF!,10,0)+VLOOKUP($B23,ФФП!#REF!,14,0)</f>
        <v>#REF!</v>
      </c>
      <c r="M23" s="51" t="e">
        <f t="shared" si="12"/>
        <v>#VALUE!</v>
      </c>
      <c r="N23" s="138" t="e">
        <f t="shared" si="3"/>
        <v>#REF!</v>
      </c>
      <c r="O23" s="492">
        <f>VLOOKUP(B23,Предвидение!$C$13:$V$50,20,0)</f>
        <v>32</v>
      </c>
      <c r="P23" s="489">
        <f>VLOOKUP(O23,Очки!$A$2:$B$84,2,0)</f>
        <v>1</v>
      </c>
      <c r="Q23" s="494">
        <f>VLOOKUP(B23,Предвидение!$C$13:$V$50,10,0)</f>
        <v>7</v>
      </c>
      <c r="R23" s="494">
        <f>VLOOKUP(B23,Предвидение!$C$13:$V$50,19,0)</f>
        <v>3</v>
      </c>
      <c r="S23" s="489">
        <f>ROUND(10*R23/(Q23*2),1)</f>
        <v>2.1</v>
      </c>
      <c r="T23" s="495">
        <f t="shared" si="5"/>
        <v>3.1</v>
      </c>
      <c r="U23" s="492" t="str">
        <f>VLOOKUP(B23,Торпедо!$C$27:$U$56,19,0)</f>
        <v>28-31</v>
      </c>
      <c r="V23" s="489">
        <f>VLOOKUP(U23,Очки!$A$2:$B$84,2,0)</f>
        <v>3.5</v>
      </c>
      <c r="W23" s="548">
        <f>VLOOKUP($B23,Торпедо!$C$6:$U$23,10,0)+VLOOKUP($B23,Торпедо!$C$27:$U$56,10,0)</f>
        <v>12</v>
      </c>
      <c r="X23" s="546">
        <f>VLOOKUP($B23,Торпедо!$C$6:$U$23,18,0)+VLOOKUP($B23,Торпедо!$C$27:$U$56,18,0)</f>
        <v>11</v>
      </c>
      <c r="Y23" s="489">
        <f>ROUND(10*X23/(W23*2),1)</f>
        <v>4.6</v>
      </c>
      <c r="Z23" s="495">
        <f t="shared" si="16"/>
        <v>8.1</v>
      </c>
      <c r="AA23" s="65" t="str">
        <f>VLOOKUP(B23,ФФП!$C$7:$W$52,21,0)</f>
        <v>17-20</v>
      </c>
      <c r="AB23" s="489">
        <f>VLOOKUP(AA23,Очки!$A$2:$B$84,2,0)</f>
        <v>14.5</v>
      </c>
      <c r="AC23" s="56">
        <f>VLOOKUP(B23,ФФП!$C$7:$W$52,13,0)+2</f>
        <v>11</v>
      </c>
      <c r="AD23" s="56">
        <f>VLOOKUP(B23,ФФП!$C$7:$W$52,12,0)+2</f>
        <v>12</v>
      </c>
      <c r="AE23" s="489">
        <f t="shared" si="7"/>
        <v>5.5</v>
      </c>
      <c r="AF23" s="299">
        <f t="shared" si="8"/>
        <v>20</v>
      </c>
      <c r="AG23" s="66" t="str">
        <f>VLOOKUP(B23,Форвард!$C$6:$Q$45,15,FALSE)</f>
        <v>22-28</v>
      </c>
      <c r="AH23" s="16">
        <f>VLOOKUP(AG23,Очки!$A$2:$B$83,2,0)</f>
        <v>8</v>
      </c>
      <c r="AI23" s="15">
        <f>VLOOKUP(B23,Форвард!$C$6:$Q$45,6,FALSE)</f>
        <v>6</v>
      </c>
      <c r="AJ23" s="15">
        <f>VLOOKUP(B23,Форвард!$C$6:$Q$45,14,FALSE)</f>
        <v>7</v>
      </c>
      <c r="AK23" s="51">
        <f>ROUND(((20-$AK$2+AI23)*AJ23/(AI23*3)/2),1)</f>
        <v>5.1</v>
      </c>
      <c r="AL23" s="138">
        <f>AH23+AK23</f>
        <v>13.1</v>
      </c>
      <c r="AM23" s="69">
        <f t="shared" si="11"/>
        <v>57.300000000000004</v>
      </c>
      <c r="AO23" s="12"/>
    </row>
    <row r="24" spans="1:41" ht="13.5" thickBot="1">
      <c r="A24" s="17">
        <v>21</v>
      </c>
      <c r="B24" s="486" t="s">
        <v>48</v>
      </c>
      <c r="C24" s="488" t="str">
        <f>VLOOKUP(B24,'Профи-Опен'!$P$60:$AC$75,14,0)</f>
        <v>5-8</v>
      </c>
      <c r="D24" s="489">
        <f>VLOOKUP(C24,Очки!$A$2:$B$84,2,0)</f>
        <v>29</v>
      </c>
      <c r="E24" s="490">
        <f>VLOOKUP(B24,'Профи-Опен'!$C$7:$Q$16,6,0)+VLOOKUP(B24,'Профи-Опен'!$C$19:$V$56,10,0)+VLOOKUP(B24,'Профи-Опен'!$P$60:$AC$75,4,0)</f>
        <v>11</v>
      </c>
      <c r="F24" s="490">
        <f>VLOOKUP(B24,'Профи-Опен'!$C$7:$Q$17,15,0)+VLOOKUP(B24,'Профи-Опен'!$C$19:$V$56,19,0)+VLOOKUP(B24,'Профи-Опен'!$P$60:$AC$75,13,0)</f>
        <v>16</v>
      </c>
      <c r="G24" s="489">
        <f t="shared" si="0"/>
        <v>7.3</v>
      </c>
      <c r="H24" s="491">
        <f t="shared" si="1"/>
        <v>36.3</v>
      </c>
      <c r="I24" s="66"/>
      <c r="J24" s="16"/>
      <c r="K24" s="16"/>
      <c r="L24" s="16"/>
      <c r="M24" s="51"/>
      <c r="N24" s="138"/>
      <c r="O24" s="492"/>
      <c r="P24" s="493"/>
      <c r="Q24" s="494"/>
      <c r="R24" s="494"/>
      <c r="S24" s="489"/>
      <c r="T24" s="495">
        <f t="shared" si="5"/>
        <v>0</v>
      </c>
      <c r="U24" s="492">
        <f>VLOOKUP(B24,Торпедо!$C$27:$U$56,19,0)</f>
        <v>20</v>
      </c>
      <c r="V24" s="489">
        <f>VLOOKUP(U24,Очки!$A$2:$B$84,2,0)</f>
        <v>13</v>
      </c>
      <c r="W24" s="548">
        <f>VLOOKUP($B24,Торпедо!$C$6:$U$23,10,0)+VLOOKUP($B24,Торпедо!$C$27:$U$56,10,0)</f>
        <v>12</v>
      </c>
      <c r="X24" s="546">
        <f>VLOOKUP($B24,Торпедо!$C$6:$U$23,18,0)+VLOOKUP($B24,Торпедо!$C$27:$U$56,18,0)</f>
        <v>16</v>
      </c>
      <c r="Y24" s="489">
        <f>ROUND(10*X24/(W24*2),1)</f>
        <v>6.7</v>
      </c>
      <c r="Z24" s="495">
        <f t="shared" si="16"/>
        <v>19.7</v>
      </c>
      <c r="AA24" s="65"/>
      <c r="AB24" s="489"/>
      <c r="AC24" s="56"/>
      <c r="AD24" s="56"/>
      <c r="AE24" s="55"/>
      <c r="AF24" s="299"/>
      <c r="AG24" s="66"/>
      <c r="AH24" s="16"/>
      <c r="AI24" s="15"/>
      <c r="AJ24" s="15"/>
      <c r="AK24" s="51"/>
      <c r="AL24" s="138"/>
      <c r="AM24" s="69">
        <f t="shared" si="11"/>
        <v>56</v>
      </c>
      <c r="AO24" s="12"/>
    </row>
    <row r="25" spans="1:41" ht="13.5" thickBot="1">
      <c r="A25" s="14">
        <v>22</v>
      </c>
      <c r="B25" s="58" t="s">
        <v>314</v>
      </c>
      <c r="C25" s="488">
        <f>VLOOKUP(B25,'Профи-Опен'!$C$19:$V$56,20,0)</f>
        <v>20</v>
      </c>
      <c r="D25" s="489">
        <f>VLOOKUP(C25,Очки!$A$2:$B$84,2,0)</f>
        <v>13</v>
      </c>
      <c r="E25" s="490">
        <f>VLOOKUP(B25,'Профи-Опен'!$C$19:$V$56,10,0)</f>
        <v>7</v>
      </c>
      <c r="F25" s="490">
        <f>VLOOKUP(B25,'Профи-Опен'!$C$19:$V$56,19,0)</f>
        <v>7</v>
      </c>
      <c r="G25" s="489">
        <f t="shared" si="0"/>
        <v>5</v>
      </c>
      <c r="H25" s="491">
        <f t="shared" si="1"/>
        <v>18</v>
      </c>
      <c r="I25" s="66" t="str">
        <f>VLOOKUP(B25,ФФП!$C$7:$V$52,19,FALSE)</f>
        <v> 199</v>
      </c>
      <c r="J25" s="16" t="e">
        <f>VLOOKUP(I25,Очки!$A$2:$B$83,2,0)</f>
        <v>#N/A</v>
      </c>
      <c r="K25" s="16">
        <f>VLOOKUP($B25,ФФП!$C$7:$V$52,11,0)</f>
        <v>0</v>
      </c>
      <c r="L25" s="16" t="str">
        <f>VLOOKUP($B25,ФФП!$C$7:$V$52,10,0)</f>
        <v>2 : 3</v>
      </c>
      <c r="M25" s="51" t="e">
        <f aca="true" t="shared" si="17" ref="M25:M44">ROUND(((20-$M$2+K25)*L25/(K25*3)/2),1)</f>
        <v>#DIV/0!</v>
      </c>
      <c r="N25" s="428" t="e">
        <f aca="true" t="shared" si="18" ref="N25:N31">J25+M25</f>
        <v>#N/A</v>
      </c>
      <c r="O25" s="492">
        <f>VLOOKUP(B25,Предвидение!$C$13:$V$50,20,0)</f>
        <v>32</v>
      </c>
      <c r="P25" s="489">
        <f>VLOOKUP(O25,Очки!$A$2:$B$84,2,0)</f>
        <v>1</v>
      </c>
      <c r="Q25" s="494">
        <f>VLOOKUP(B25,Предвидение!$C$13:$V$50,10,0)</f>
        <v>7</v>
      </c>
      <c r="R25" s="494">
        <f>VLOOKUP(B25,Предвидение!$C$13:$V$50,19,0)</f>
        <v>7</v>
      </c>
      <c r="S25" s="489">
        <f>ROUND(10*R25/(Q25*2),1)</f>
        <v>5</v>
      </c>
      <c r="T25" s="495">
        <f t="shared" si="5"/>
        <v>6</v>
      </c>
      <c r="U25" s="492">
        <f>VLOOKUP(B25,Торпедо!$C$27:$U$56,19,0)</f>
        <v>20</v>
      </c>
      <c r="V25" s="489">
        <f>VLOOKUP(U25,Очки!$A$2:$B$84,2,0)</f>
        <v>13</v>
      </c>
      <c r="W25" s="548">
        <f>VLOOKUP($B25,Торпедо!$C$27:$U$56,10,0)</f>
        <v>5</v>
      </c>
      <c r="X25" s="494">
        <f>VLOOKUP($B25,Торпедо!$C$27:$U$56,18,0)</f>
        <v>7</v>
      </c>
      <c r="Y25" s="489">
        <f>ROUND(10*X25/(W25*2),1)</f>
        <v>7</v>
      </c>
      <c r="Z25" s="495">
        <f t="shared" si="16"/>
        <v>20</v>
      </c>
      <c r="AA25" s="65" t="str">
        <f>VLOOKUP(B25,ФФП!$C$7:$W$52,21,0)</f>
        <v>37-40</v>
      </c>
      <c r="AB25" s="489">
        <f>VLOOKUP(AA25,Очки!$A$2:$B$84,2,0)</f>
        <v>0</v>
      </c>
      <c r="AC25" s="56">
        <f>VLOOKUP(B25,ФФП!$C$7:$W$52,13,0)</f>
        <v>9</v>
      </c>
      <c r="AD25" s="56">
        <f>VLOOKUP(B25,ФФП!$C$7:$W$52,12,0)</f>
        <v>3</v>
      </c>
      <c r="AE25" s="489">
        <f aca="true" t="shared" si="19" ref="AE25:AE41">ROUND(10*AD25/(AC25*2),1)</f>
        <v>1.7</v>
      </c>
      <c r="AF25" s="299">
        <f aca="true" t="shared" si="20" ref="AF25:AF41">AB25+AE25</f>
        <v>1.7</v>
      </c>
      <c r="AG25" s="66" t="str">
        <f>VLOOKUP(B25,Форвард!$C$50:$Q$71,15,FALSE)</f>
        <v>5-8</v>
      </c>
      <c r="AH25" s="16">
        <f>VLOOKUP(AG25,Очки!$A$2:$B$83,2,0)</f>
        <v>29</v>
      </c>
      <c r="AI25" s="15">
        <f>VLOOKUP(B25,Форвард!$C$6:$Q$45,6,FALSE)+VLOOKUP(B25,Форвард!$C$50:$Q$71,6,FALSE)</f>
        <v>12</v>
      </c>
      <c r="AJ25" s="15">
        <f>VLOOKUP(B25,Форвард!$C$6:$Q$45,14,FALSE)+VLOOKUP(B25,Форвард!$C$50:$Q$71,14,FALSE)</f>
        <v>21</v>
      </c>
      <c r="AK25" s="51">
        <f>ROUND(((20-$AK$2+AI25)*AJ25/(AI25*3)/2),1)</f>
        <v>9.3</v>
      </c>
      <c r="AL25" s="138">
        <f>AH25+AK25</f>
        <v>38.3</v>
      </c>
      <c r="AM25" s="69">
        <f t="shared" si="11"/>
        <v>45.7</v>
      </c>
      <c r="AO25" s="12"/>
    </row>
    <row r="26" spans="1:41" ht="13.5" thickBot="1">
      <c r="A26" s="17">
        <v>23</v>
      </c>
      <c r="B26" s="57" t="s">
        <v>33</v>
      </c>
      <c r="C26" s="488">
        <f>VLOOKUP(B26,'Профи-Опен'!$C$19:$V$56,20,0)</f>
        <v>19</v>
      </c>
      <c r="D26" s="489">
        <f>VLOOKUP(C26,Очки!$A$2:$B$84,2,0)</f>
        <v>14</v>
      </c>
      <c r="E26" s="490">
        <f>VLOOKUP(B26,'Профи-Опен'!$C$7:$Q$16,6,0)+VLOOKUP(B26,'Профи-Опен'!$C$19:$V$56,10,0)</f>
        <v>9</v>
      </c>
      <c r="F26" s="490">
        <f>VLOOKUP(B26,'Профи-Опен'!$C$7:$Q$17,15,0)+VLOOKUP(B26,'Профи-Опен'!$C$19:$V$56,19,0)</f>
        <v>11</v>
      </c>
      <c r="G26" s="489">
        <f t="shared" si="0"/>
        <v>6.1</v>
      </c>
      <c r="H26" s="491">
        <f t="shared" si="1"/>
        <v>20.1</v>
      </c>
      <c r="I26" s="66" t="str">
        <f>VLOOKUP(B26,ФФП!$C$7:$V$52,19,FALSE)</f>
        <v> 238</v>
      </c>
      <c r="J26" s="16" t="e">
        <f>VLOOKUP(I26,Очки!$A$2:$B$83,2,0)</f>
        <v>#N/A</v>
      </c>
      <c r="K26" s="16">
        <f>VLOOKUP($B26,ФФП!$C$7:$V$52,11,0)</f>
        <v>0</v>
      </c>
      <c r="L26" s="16" t="str">
        <f>VLOOKUP($B26,ФФП!$C$7:$V$52,10,0)</f>
        <v>4 : 1</v>
      </c>
      <c r="M26" s="51" t="e">
        <f t="shared" si="17"/>
        <v>#DIV/0!</v>
      </c>
      <c r="N26" s="138" t="e">
        <f t="shared" si="18"/>
        <v>#N/A</v>
      </c>
      <c r="O26" s="492"/>
      <c r="P26" s="493"/>
      <c r="Q26" s="494"/>
      <c r="R26" s="494"/>
      <c r="S26" s="496"/>
      <c r="T26" s="495">
        <f t="shared" si="5"/>
        <v>0</v>
      </c>
      <c r="U26" s="492">
        <f>VLOOKUP(B26,Торпедо!$C$27:$U$56,19,0)</f>
        <v>20</v>
      </c>
      <c r="V26" s="489">
        <f>VLOOKUP(U26,Очки!$A$2:$B$84,2,0)</f>
        <v>13</v>
      </c>
      <c r="W26" s="548">
        <f>VLOOKUP($B26,Торпедо!$C$27:$U$56,10,0)</f>
        <v>5</v>
      </c>
      <c r="X26" s="494">
        <f>VLOOKUP($B26,Торпедо!$C$27:$U$56,18,0)</f>
        <v>8</v>
      </c>
      <c r="Y26" s="489">
        <f>ROUND(10*X26/(W26*2),1)</f>
        <v>8</v>
      </c>
      <c r="Z26" s="495">
        <f t="shared" si="16"/>
        <v>21</v>
      </c>
      <c r="AA26" s="65" t="str">
        <f>VLOOKUP(B26,ФФП!$C$7:$W$52,21,0)</f>
        <v>37-40</v>
      </c>
      <c r="AB26" s="489">
        <f>VLOOKUP(AA26,Очки!$A$2:$B$84,2,0)</f>
        <v>0</v>
      </c>
      <c r="AC26" s="56">
        <f>VLOOKUP(B26,ФФП!$C$7:$W$52,13,0)</f>
        <v>9</v>
      </c>
      <c r="AD26" s="56">
        <f>VLOOKUP(B26,ФФП!$C$7:$W$52,12,0)</f>
        <v>6</v>
      </c>
      <c r="AE26" s="489">
        <f t="shared" si="19"/>
        <v>3.3</v>
      </c>
      <c r="AF26" s="299">
        <f t="shared" si="20"/>
        <v>3.3</v>
      </c>
      <c r="AG26" s="66"/>
      <c r="AH26" s="16"/>
      <c r="AI26" s="15"/>
      <c r="AJ26" s="15"/>
      <c r="AK26" s="51"/>
      <c r="AL26" s="138"/>
      <c r="AM26" s="69">
        <f t="shared" si="11"/>
        <v>44.4</v>
      </c>
      <c r="AO26" s="12"/>
    </row>
    <row r="27" spans="1:39" ht="13.5" thickBot="1">
      <c r="A27" s="14">
        <v>24</v>
      </c>
      <c r="B27" s="59" t="s">
        <v>123</v>
      </c>
      <c r="C27" s="65"/>
      <c r="D27" s="55"/>
      <c r="E27" s="55"/>
      <c r="F27" s="55"/>
      <c r="G27" s="55"/>
      <c r="H27" s="299"/>
      <c r="I27" s="66" t="e">
        <f>VLOOKUP(B27,ФФП!#REF!,23,FALSE)</f>
        <v>#REF!</v>
      </c>
      <c r="J27" s="16" t="e">
        <f>VLOOKUP(I27,Очки!$A$2:$B$83,2,0)</f>
        <v>#REF!</v>
      </c>
      <c r="K27" s="16" t="e">
        <f>VLOOKUP($B27,ФФП!$C$7:$V$52,11,0)+VLOOKUP($B27,ФФП!#REF!,11,0)+VLOOKUP($B27,ФФП!#REF!,15,0)</f>
        <v>#REF!</v>
      </c>
      <c r="L27" s="16" t="e">
        <f>VLOOKUP($B27,ФФП!$C$7:$V$52,10,0)+VLOOKUP($B27,ФФП!#REF!,10,0)+VLOOKUP($B27,ФФП!#REF!,14,0)</f>
        <v>#REF!</v>
      </c>
      <c r="M27" s="51" t="e">
        <f t="shared" si="17"/>
        <v>#REF!</v>
      </c>
      <c r="N27" s="138" t="e">
        <f t="shared" si="18"/>
        <v>#REF!</v>
      </c>
      <c r="O27" s="492">
        <f>VLOOKUP(B27,Предвидение!$C$13:$V$50,20,0)</f>
        <v>32</v>
      </c>
      <c r="P27" s="489">
        <f>VLOOKUP(O27,Очки!$A$2:$B$84,2,0)</f>
        <v>1</v>
      </c>
      <c r="Q27" s="494">
        <f>VLOOKUP($B27,Предвидение!$C$7:$R$10,6,0)+VLOOKUP(B27,Предвидение!$C$13:$V$50,10,0)</f>
        <v>10</v>
      </c>
      <c r="R27" s="494">
        <f>VLOOKUP($B27,Предвидение!$C$7:$R$10,15,0)+VLOOKUP(B27,Предвидение!$C$13:$V$50,19,0)</f>
        <v>6</v>
      </c>
      <c r="S27" s="489">
        <f aca="true" t="shared" si="21" ref="S27:S33">ROUND(10*R27/(Q27*2),1)</f>
        <v>3</v>
      </c>
      <c r="T27" s="495">
        <f t="shared" si="5"/>
        <v>4</v>
      </c>
      <c r="U27" s="492"/>
      <c r="V27" s="493"/>
      <c r="W27" s="494">
        <f>VLOOKUP($B27,Торпедо!$C$6:$U$23,10,0)</f>
        <v>7</v>
      </c>
      <c r="X27" s="494">
        <f>VLOOKUP($B27,Торпедо!$C$6:$U$23,18,0)</f>
        <v>6</v>
      </c>
      <c r="Y27" s="489">
        <f>ROUND(10*X27/(W27*2),1)</f>
        <v>4.3</v>
      </c>
      <c r="Z27" s="495">
        <f t="shared" si="16"/>
        <v>4.3</v>
      </c>
      <c r="AA27" s="65" t="str">
        <f>VLOOKUP(B27,ФФП!$C$64:$L$93,10,0)</f>
        <v>5-8</v>
      </c>
      <c r="AB27" s="489">
        <f>VLOOKUP(AA27,Очки!$A$2:$B$84,2,0)</f>
        <v>29</v>
      </c>
      <c r="AC27" s="56">
        <f>VLOOKUP(B27,ФФП!$C$7:$W$52,13,0)+VLOOKUP(B27,ФФП!$C$64:$L$93,3,0)</f>
        <v>12</v>
      </c>
      <c r="AD27" s="56">
        <f>VLOOKUP(B27,ФФП!$C$7:$W$52,12,0)+VLOOKUP(B27,ФФП!$C$64:$L$93,4,0)*2+VLOOKUP(B27,ФФП!$C$64:$L$93,5,0)</f>
        <v>14</v>
      </c>
      <c r="AE27" s="489">
        <f t="shared" si="19"/>
        <v>5.8</v>
      </c>
      <c r="AF27" s="299">
        <f t="shared" si="20"/>
        <v>34.8</v>
      </c>
      <c r="AG27" s="66"/>
      <c r="AH27" s="16"/>
      <c r="AI27" s="15"/>
      <c r="AJ27" s="15"/>
      <c r="AK27" s="51"/>
      <c r="AL27" s="138"/>
      <c r="AM27" s="69">
        <f t="shared" si="11"/>
        <v>43.099999999999994</v>
      </c>
    </row>
    <row r="28" spans="1:40" ht="13.5" thickBot="1">
      <c r="A28" s="17">
        <v>25</v>
      </c>
      <c r="B28" s="568" t="s">
        <v>29</v>
      </c>
      <c r="C28" s="488" t="str">
        <f>VLOOKUP(B28,'Профи-Опен'!$P$60:$AC$75,14,0)</f>
        <v>9-16</v>
      </c>
      <c r="D28" s="489">
        <f>VLOOKUP(C28,Очки!$A$2:$B$84,2,0)</f>
        <v>20.5</v>
      </c>
      <c r="E28" s="490">
        <f>VLOOKUP(B28,'Профи-Опен'!$C$19:$V$56,10,0)+VLOOKUP(B28,'Профи-Опен'!$P$60:$AC$75,4,0)</f>
        <v>8</v>
      </c>
      <c r="F28" s="490">
        <f>VLOOKUP(B28,'Профи-Опен'!$C$19:$V$56,19,0)+VLOOKUP(B28,'Профи-Опен'!$P$60:$AC$75,13,0)</f>
        <v>7</v>
      </c>
      <c r="G28" s="489">
        <f aca="true" t="shared" si="22" ref="G28:G33">ROUND(10*F28/(E28*2),1)</f>
        <v>4.4</v>
      </c>
      <c r="H28" s="491">
        <f aca="true" t="shared" si="23" ref="H28:H33">D28+G28</f>
        <v>24.9</v>
      </c>
      <c r="I28" s="66" t="e">
        <f>VLOOKUP(B28,ФФП!#REF!,23,FALSE)</f>
        <v>#REF!</v>
      </c>
      <c r="J28" s="16" t="e">
        <f>VLOOKUP(I28,Очки!$A$2:$B$83,2,0)</f>
        <v>#REF!</v>
      </c>
      <c r="K28" s="16" t="e">
        <f>VLOOKUP($B28,ФФП!$C$7:$V$52,11,0)+VLOOKUP($B28,ФФП!#REF!,11,0)+VLOOKUP($B28,ФФП!#REF!,15,0)</f>
        <v>#REF!</v>
      </c>
      <c r="L28" s="16" t="e">
        <f>VLOOKUP($B28,ФФП!$C$7:$V$52,10,0)+VLOOKUP($B28,ФФП!#REF!,10,0)+VLOOKUP($B28,ФФП!#REF!,14,0)</f>
        <v>#REF!</v>
      </c>
      <c r="M28" s="51" t="e">
        <f t="shared" si="17"/>
        <v>#REF!</v>
      </c>
      <c r="N28" s="138" t="e">
        <f t="shared" si="18"/>
        <v>#REF!</v>
      </c>
      <c r="O28" s="492">
        <f>VLOOKUP(B28,Предвидение!$C$13:$V$50,20,0)</f>
        <v>32</v>
      </c>
      <c r="P28" s="489">
        <f>VLOOKUP(O28,Очки!$A$2:$B$84,2,0)</f>
        <v>1</v>
      </c>
      <c r="Q28" s="494">
        <f>VLOOKUP(B28,Предвидение!$C$13:$V$50,10,0)</f>
        <v>7</v>
      </c>
      <c r="R28" s="494">
        <f>VLOOKUP(B28,Предвидение!$C$13:$V$50,19,0)</f>
        <v>1</v>
      </c>
      <c r="S28" s="489">
        <f t="shared" si="21"/>
        <v>0.7</v>
      </c>
      <c r="T28" s="495">
        <f t="shared" si="5"/>
        <v>1.7</v>
      </c>
      <c r="U28" s="492">
        <f>VLOOKUP(B28,Торпедо!$C$58:$D$68,2,0)</f>
        <v>20</v>
      </c>
      <c r="V28" s="489">
        <f>VLOOKUP(U28,Очки!$A$2:$B$84,2,0)</f>
        <v>13</v>
      </c>
      <c r="W28" s="494"/>
      <c r="X28" s="494"/>
      <c r="Y28" s="496"/>
      <c r="Z28" s="495">
        <f t="shared" si="16"/>
        <v>13</v>
      </c>
      <c r="AA28" s="65" t="str">
        <f>VLOOKUP(B28,ФФП!$C$7:$W$52,21,0)</f>
        <v>33-36</v>
      </c>
      <c r="AB28" s="489">
        <f>VLOOKUP(AA28,Очки!$A$2:$B$84,2,0)</f>
        <v>0</v>
      </c>
      <c r="AC28" s="56">
        <f>VLOOKUP(B28,ФФП!$C$7:$W$52,13,0)</f>
        <v>9</v>
      </c>
      <c r="AD28" s="56">
        <f>VLOOKUP(B28,ФФП!$C$7:$W$52,12,0)</f>
        <v>6</v>
      </c>
      <c r="AE28" s="489">
        <f t="shared" si="19"/>
        <v>3.3</v>
      </c>
      <c r="AF28" s="299">
        <f t="shared" si="20"/>
        <v>3.3</v>
      </c>
      <c r="AG28" s="66" t="str">
        <f>VLOOKUP(B28,Форвард!$C$6:$Q$45,15,FALSE)</f>
        <v>17-21</v>
      </c>
      <c r="AH28" s="16">
        <f>VLOOKUP(AG28,Очки!$A$2:$B$83,2,0)</f>
        <v>14</v>
      </c>
      <c r="AI28" s="15">
        <f>VLOOKUP(B28,Форвард!$C$6:$Q$45,6,FALSE)</f>
        <v>6</v>
      </c>
      <c r="AJ28" s="15">
        <f>VLOOKUP(B28,Форвард!$C$6:$Q$45,14,FALSE)</f>
        <v>6</v>
      </c>
      <c r="AK28" s="51">
        <f>ROUND(((20-$AK$2+AI28)*AJ28/(AI28*3)/2),1)</f>
        <v>4.3</v>
      </c>
      <c r="AL28" s="138">
        <f>AH28+AK28</f>
        <v>18.3</v>
      </c>
      <c r="AM28" s="69">
        <f t="shared" si="11"/>
        <v>42.9</v>
      </c>
      <c r="AN28" s="12"/>
    </row>
    <row r="29" spans="1:39" ht="13.5" thickBot="1">
      <c r="A29" s="14">
        <v>26</v>
      </c>
      <c r="B29" s="59" t="s">
        <v>116</v>
      </c>
      <c r="C29" s="488">
        <f>VLOOKUP(B29,'Профи-Опен'!$C$19:$V$56,20,0)</f>
        <v>24</v>
      </c>
      <c r="D29" s="489">
        <f>VLOOKUP(C29,Очки!$A$2:$B$84,2,0)</f>
        <v>9</v>
      </c>
      <c r="E29" s="490">
        <f>VLOOKUP(B29,'Профи-Опен'!$C$19:$V$56,10,0)</f>
        <v>7</v>
      </c>
      <c r="F29" s="490">
        <f>VLOOKUP(B29,'Профи-Опен'!$C$19:$V$56,19,0)</f>
        <v>5</v>
      </c>
      <c r="G29" s="489">
        <f t="shared" si="22"/>
        <v>3.6</v>
      </c>
      <c r="H29" s="491">
        <f t="shared" si="23"/>
        <v>12.6</v>
      </c>
      <c r="I29" s="66" t="str">
        <f>VLOOKUP(B29,ФФП!$C$7:$V$52,19,FALSE)</f>
        <v> 236</v>
      </c>
      <c r="J29" s="16" t="e">
        <f>VLOOKUP(I29,Очки!$A$2:$B$83,2,0)</f>
        <v>#N/A</v>
      </c>
      <c r="K29" s="16" t="str">
        <f>VLOOKUP($B29,ФФП!$C$7:$V$52,11,0)</f>
        <v>2 : 4</v>
      </c>
      <c r="L29" s="16" t="str">
        <f>VLOOKUP($B29,ФФП!$C$7:$V$52,10,0)</f>
        <v>4 : 0</v>
      </c>
      <c r="M29" s="51">
        <f t="shared" si="17"/>
        <v>6.5</v>
      </c>
      <c r="N29" s="428" t="e">
        <f t="shared" si="18"/>
        <v>#N/A</v>
      </c>
      <c r="O29" s="492">
        <f>VLOOKUP(B29,Предвидение!$C$13:$V$50,20,0)</f>
        <v>32</v>
      </c>
      <c r="P29" s="489">
        <f>VLOOKUP(O29,Очки!$A$2:$B$84,2,0)</f>
        <v>1</v>
      </c>
      <c r="Q29" s="494">
        <f>VLOOKUP(B29,Предвидение!$C$13:$V$50,10,0)</f>
        <v>7</v>
      </c>
      <c r="R29" s="494">
        <f>VLOOKUP(B29,Предвидение!$C$13:$V$50,19,0)</f>
        <v>6</v>
      </c>
      <c r="S29" s="489">
        <f t="shared" si="21"/>
        <v>4.3</v>
      </c>
      <c r="T29" s="495">
        <f t="shared" si="5"/>
        <v>5.3</v>
      </c>
      <c r="U29" s="492">
        <f>VLOOKUP(B29,Торпедо!$C$27:$U$56,19,0)</f>
        <v>20</v>
      </c>
      <c r="V29" s="489">
        <f>VLOOKUP(U29,Очки!$A$2:$B$84,2,0)</f>
        <v>13</v>
      </c>
      <c r="W29" s="548">
        <f>VLOOKUP($B29,Торпедо!$C$27:$U$56,10,0)</f>
        <v>5</v>
      </c>
      <c r="X29" s="494">
        <f>VLOOKUP($B29,Торпедо!$C$27:$U$56,18,0)</f>
        <v>6</v>
      </c>
      <c r="Y29" s="489">
        <f>ROUND(10*X29/(W29*2),1)</f>
        <v>6</v>
      </c>
      <c r="Z29" s="495">
        <f t="shared" si="16"/>
        <v>19</v>
      </c>
      <c r="AA29" s="65" t="str">
        <f>VLOOKUP(B29,ФФП!$C$7:$W$52,21,0)</f>
        <v>29-32</v>
      </c>
      <c r="AB29" s="489">
        <f>VLOOKUP(AA29,Очки!$A$2:$B$84,2,0)</f>
        <v>2.5</v>
      </c>
      <c r="AC29" s="56">
        <f>VLOOKUP(B29,ФФП!$C$7:$W$52,13,0)</f>
        <v>9</v>
      </c>
      <c r="AD29" s="56">
        <f>VLOOKUP(B29,ФФП!$C$7:$W$52,12,0)</f>
        <v>6</v>
      </c>
      <c r="AE29" s="489">
        <f t="shared" si="19"/>
        <v>3.3</v>
      </c>
      <c r="AF29" s="299">
        <f t="shared" si="20"/>
        <v>5.8</v>
      </c>
      <c r="AG29" s="66" t="str">
        <f>VLOOKUP(B29,Форвард!$C$6:$Q$45,15,FALSE)</f>
        <v>22-28</v>
      </c>
      <c r="AH29" s="16">
        <f>VLOOKUP(AG29,Очки!$A$2:$B$83,2,0)</f>
        <v>8</v>
      </c>
      <c r="AI29" s="15">
        <f>VLOOKUP(B29,Форвард!$C$6:$Q$45,6,FALSE)</f>
        <v>6</v>
      </c>
      <c r="AJ29" s="15">
        <f>VLOOKUP(B29,Форвард!$C$6:$Q$45,14,FALSE)</f>
        <v>6</v>
      </c>
      <c r="AK29" s="51">
        <f>ROUND(((20-$AK$2+AI29)*AJ29/(AI29*3)/2),1)</f>
        <v>4.3</v>
      </c>
      <c r="AL29" s="138">
        <f>AH29+AK29</f>
        <v>12.3</v>
      </c>
      <c r="AM29" s="69">
        <f t="shared" si="11"/>
        <v>42.699999999999996</v>
      </c>
    </row>
    <row r="30" spans="1:41" ht="13.5" thickBot="1">
      <c r="A30" s="17">
        <v>27</v>
      </c>
      <c r="B30" s="59" t="s">
        <v>126</v>
      </c>
      <c r="C30" s="488">
        <f>VLOOKUP(B30,'Профи-Опен'!$C$19:$V$56,20,0)</f>
        <v>30</v>
      </c>
      <c r="D30" s="489">
        <f>VLOOKUP(C30,Очки!$A$2:$B$84,2,0)</f>
        <v>3</v>
      </c>
      <c r="E30" s="490">
        <f>VLOOKUP(B30,'Профи-Опен'!$C$7:$Q$16,6,0)+VLOOKUP(B30,'Профи-Опен'!$C$19:$V$56,10,0)</f>
        <v>9</v>
      </c>
      <c r="F30" s="490">
        <f>VLOOKUP(B30,'Профи-Опен'!$C$7:$Q$17,15,0)+VLOOKUP(B30,'Профи-Опен'!$C$19:$V$56,19,0)</f>
        <v>6</v>
      </c>
      <c r="G30" s="489">
        <f t="shared" si="22"/>
        <v>3.3</v>
      </c>
      <c r="H30" s="491">
        <f t="shared" si="23"/>
        <v>6.3</v>
      </c>
      <c r="I30" s="66" t="str">
        <f>VLOOKUP(B30,ФФП!$C$7:$V$52,19,FALSE)</f>
        <v> 269</v>
      </c>
      <c r="J30" s="16" t="e">
        <f>VLOOKUP(I30,Очки!$A$2:$B$83,2,0)</f>
        <v>#N/A</v>
      </c>
      <c r="K30" s="16" t="str">
        <f>VLOOKUP($B30,ФФП!$C$7:$V$52,11,0)</f>
        <v>4 : 2</v>
      </c>
      <c r="L30" s="16" t="str">
        <f>VLOOKUP($B30,ФФП!$C$7:$V$52,10,0)</f>
        <v>5 : 0</v>
      </c>
      <c r="M30" s="51">
        <f t="shared" si="17"/>
        <v>4.2</v>
      </c>
      <c r="N30" s="138" t="e">
        <f t="shared" si="18"/>
        <v>#N/A</v>
      </c>
      <c r="O30" s="492">
        <f>VLOOKUP(B30,Предвидение!$C$13:$V$50,20,0)</f>
        <v>32</v>
      </c>
      <c r="P30" s="489">
        <f>VLOOKUP(O30,Очки!$A$2:$B$84,2,0)</f>
        <v>1</v>
      </c>
      <c r="Q30" s="494">
        <f>VLOOKUP(B30,Предвидение!$C$13:$V$50,10,0)</f>
        <v>7</v>
      </c>
      <c r="R30" s="494">
        <f>VLOOKUP(B30,Предвидение!$C$13:$V$50,19,0)</f>
        <v>3</v>
      </c>
      <c r="S30" s="489">
        <f t="shared" si="21"/>
        <v>2.1</v>
      </c>
      <c r="T30" s="495">
        <f t="shared" si="5"/>
        <v>3.1</v>
      </c>
      <c r="U30" s="492"/>
      <c r="V30" s="493"/>
      <c r="W30" s="494">
        <f>VLOOKUP($B30,Торпедо!$C$6:$U$23,10,0)</f>
        <v>6</v>
      </c>
      <c r="X30" s="494">
        <f>VLOOKUP($B30,Торпедо!$C$6:$U$23,18,0)</f>
        <v>4</v>
      </c>
      <c r="Y30" s="489">
        <f>ROUND(10*X30/(W30*2),1)</f>
        <v>3.3</v>
      </c>
      <c r="Z30" s="495">
        <f t="shared" si="16"/>
        <v>3.3</v>
      </c>
      <c r="AA30" s="65" t="str">
        <f>VLOOKUP(B30,ФФП!$C$64:$L$93,10,0)</f>
        <v>9-16</v>
      </c>
      <c r="AB30" s="489">
        <f>VLOOKUP(AA30,Очки!$A$2:$B$84,2,0)</f>
        <v>20.5</v>
      </c>
      <c r="AC30" s="56">
        <f>VLOOKUP(B30,ФФП!$C$7:$W$52,13,0)+VLOOKUP(B30,ФФП!$C$64:$L$93,3,0)</f>
        <v>11</v>
      </c>
      <c r="AD30" s="56">
        <f>VLOOKUP(B30,ФФП!$C$7:$W$52,12,0)+VLOOKUP(B30,ФФП!$C$64:$L$93,4,0)*2+VLOOKUP(B30,ФФП!$C$64:$L$93,5,0)</f>
        <v>12</v>
      </c>
      <c r="AE30" s="489">
        <f t="shared" si="19"/>
        <v>5.5</v>
      </c>
      <c r="AF30" s="299">
        <f t="shared" si="20"/>
        <v>26</v>
      </c>
      <c r="AG30" s="66" t="str">
        <f>VLOOKUP(B30,Форвард!$C$6:$Q$45,15,FALSE)</f>
        <v>22-28</v>
      </c>
      <c r="AH30" s="16">
        <f>VLOOKUP(AG30,Очки!$A$2:$B$83,2,0)</f>
        <v>8</v>
      </c>
      <c r="AI30" s="15">
        <f>VLOOKUP(B30,Форвард!$C$6:$Q$45,6,FALSE)</f>
        <v>6</v>
      </c>
      <c r="AJ30" s="15">
        <f>VLOOKUP(B30,Форвард!$C$6:$Q$45,14,FALSE)</f>
        <v>5</v>
      </c>
      <c r="AK30" s="51">
        <f>ROUND(((20-$AK$2+AI30)*AJ30/(AI30*3)/2),1)</f>
        <v>3.6</v>
      </c>
      <c r="AL30" s="138">
        <f>AH30+AK30</f>
        <v>11.6</v>
      </c>
      <c r="AM30" s="69">
        <f t="shared" si="11"/>
        <v>38.7</v>
      </c>
      <c r="AO30" s="142"/>
    </row>
    <row r="31" spans="1:39" ht="13.5" thickBot="1">
      <c r="A31" s="14">
        <v>28</v>
      </c>
      <c r="B31" s="59" t="s">
        <v>304</v>
      </c>
      <c r="C31" s="488">
        <f>VLOOKUP(B31,'Профи-Опен'!$C$19:$V$56,20,0)</f>
        <v>21</v>
      </c>
      <c r="D31" s="489">
        <f>VLOOKUP(C31,Очки!$A$2:$B$84,2,0)</f>
        <v>12</v>
      </c>
      <c r="E31" s="490">
        <f>VLOOKUP(B31,'Профи-Опен'!$C$19:$V$56,10,0)</f>
        <v>7</v>
      </c>
      <c r="F31" s="490">
        <f>VLOOKUP(B31,'Профи-Опен'!$C$19:$V$56,19,0)</f>
        <v>7</v>
      </c>
      <c r="G31" s="489">
        <f t="shared" si="22"/>
        <v>5</v>
      </c>
      <c r="H31" s="491">
        <f t="shared" si="23"/>
        <v>17</v>
      </c>
      <c r="I31" s="66" t="str">
        <f>VLOOKUP(B31,ФФП!$C$7:$V$52,19,FALSE)</f>
        <v> 241</v>
      </c>
      <c r="J31" s="16" t="e">
        <f>VLOOKUP(I31,Очки!$A$2:$B$83,2,0)</f>
        <v>#N/A</v>
      </c>
      <c r="K31" s="16" t="str">
        <f>VLOOKUP($B31,ФФП!$C$7:$V$52,11,0)</f>
        <v>1 : 4</v>
      </c>
      <c r="L31" s="16">
        <f>VLOOKUP($B31,ФФП!$C$7:$V$52,10,0)</f>
        <v>0</v>
      </c>
      <c r="M31" s="51">
        <f t="shared" si="17"/>
        <v>0</v>
      </c>
      <c r="N31" s="428" t="e">
        <f t="shared" si="18"/>
        <v>#N/A</v>
      </c>
      <c r="O31" s="492">
        <f>VLOOKUP(B31,Предвидение!$C$13:$V$50,20,0)</f>
        <v>32</v>
      </c>
      <c r="P31" s="489">
        <f>VLOOKUP(O31,Очки!$A$2:$B$84,2,0)</f>
        <v>1</v>
      </c>
      <c r="Q31" s="494">
        <f>VLOOKUP(B31,Предвидение!$C$13:$V$50,10,0)</f>
        <v>7</v>
      </c>
      <c r="R31" s="494">
        <f>VLOOKUP(B31,Предвидение!$C$13:$V$50,19,0)</f>
        <v>3</v>
      </c>
      <c r="S31" s="489">
        <f t="shared" si="21"/>
        <v>2.1</v>
      </c>
      <c r="T31" s="495">
        <f t="shared" si="5"/>
        <v>3.1</v>
      </c>
      <c r="U31" s="492">
        <f>VLOOKUP(B31,Торпедо!$C$58:$D$68,2,0)</f>
        <v>20</v>
      </c>
      <c r="V31" s="489">
        <f>VLOOKUP(U31,Очки!$A$2:$B$84,2,0)</f>
        <v>13</v>
      </c>
      <c r="W31" s="494"/>
      <c r="X31" s="494"/>
      <c r="Y31" s="496"/>
      <c r="Z31" s="495">
        <f t="shared" si="16"/>
        <v>13</v>
      </c>
      <c r="AA31" s="65" t="str">
        <f>VLOOKUP(B31,ФФП!$C$7:$W$52,21,0)</f>
        <v>33-36</v>
      </c>
      <c r="AB31" s="489">
        <f>VLOOKUP(AA31,Очки!$A$2:$B$84,2,0)</f>
        <v>0</v>
      </c>
      <c r="AC31" s="56">
        <f>VLOOKUP(B31,ФФП!$C$7:$W$52,13,0)</f>
        <v>9</v>
      </c>
      <c r="AD31" s="56">
        <f>VLOOKUP(B31,ФФП!$C$7:$W$52,12,0)</f>
        <v>7</v>
      </c>
      <c r="AE31" s="489">
        <f t="shared" si="19"/>
        <v>3.9</v>
      </c>
      <c r="AF31" s="299">
        <f t="shared" si="20"/>
        <v>3.9</v>
      </c>
      <c r="AG31" s="66">
        <f>VLOOKUP(B31,Форвард!$C$76:$Q$79,15,FALSE)</f>
        <v>4</v>
      </c>
      <c r="AH31" s="16">
        <f>VLOOKUP(AG31,Очки!$A$2:$B$83,2,0)</f>
        <v>34</v>
      </c>
      <c r="AI31" s="15">
        <f>VLOOKUP(B31,Форвард!$C$6:$Q$45,6,FALSE)+VLOOKUP(B31,Форвард!$C$50:$Q$71,6,FALSE)+VLOOKUP(B31,Форвард!$C$76:$Q$79,6,FALSE)</f>
        <v>18</v>
      </c>
      <c r="AJ31" s="15">
        <f>VLOOKUP(B31,Форвард!$C$6:$Q$45,14,FALSE)+VLOOKUP(B31,Форвард!$C$50:$Q$71,14,FALSE)+VLOOKUP(B31,Форвард!$C$76:$Q$79,14,FALSE)</f>
        <v>21</v>
      </c>
      <c r="AK31" s="51">
        <f>ROUND(((20-$AK$2+AI31)*AJ31/(AI31*3)/2),1)</f>
        <v>7.4</v>
      </c>
      <c r="AL31" s="138">
        <f>AH31+AK31</f>
        <v>41.4</v>
      </c>
      <c r="AM31" s="69">
        <f t="shared" si="11"/>
        <v>37</v>
      </c>
    </row>
    <row r="32" spans="1:39" ht="13.5" thickBot="1">
      <c r="A32" s="17">
        <v>29</v>
      </c>
      <c r="B32" s="59" t="s">
        <v>309</v>
      </c>
      <c r="C32" s="65"/>
      <c r="D32" s="55"/>
      <c r="E32" s="56">
        <f>VLOOKUP(B32,'Профи-Опен'!$C$7:$Q$16,6,0)</f>
        <v>2</v>
      </c>
      <c r="F32" s="56">
        <f>VLOOKUP(B32,'Профи-Опен'!$C$7:$Q$17,15,0)</f>
        <v>0</v>
      </c>
      <c r="G32" s="55">
        <f t="shared" si="22"/>
        <v>0</v>
      </c>
      <c r="H32" s="299">
        <f t="shared" si="23"/>
        <v>0</v>
      </c>
      <c r="I32" s="66" t="str">
        <f>VLOOKUP(B32,ФФП!$C$7:$V$52,19,FALSE)</f>
        <v> 230</v>
      </c>
      <c r="J32" s="16" t="e">
        <f>VLOOKUP(I32,Очки!$A$2:$B$83,2,0)</f>
        <v>#N/A</v>
      </c>
      <c r="K32" s="16" t="str">
        <f>VLOOKUP($B32,ФФП!$C$7:$V$52,11,0)</f>
        <v>4 : 1</v>
      </c>
      <c r="L32" s="16" t="str">
        <f>VLOOKUP($B32,ФФП!$C$7:$V$52,10,0)</f>
        <v>4 : 1</v>
      </c>
      <c r="M32" s="51">
        <f t="shared" si="17"/>
        <v>3.4</v>
      </c>
      <c r="N32" s="138"/>
      <c r="O32" s="492">
        <f>VLOOKUP(B32,Предвидение!$C$13:$V$50,20,0)</f>
        <v>32</v>
      </c>
      <c r="P32" s="489">
        <f>VLOOKUP(O32,Очки!$A$2:$B$84,2,0)</f>
        <v>1</v>
      </c>
      <c r="Q32" s="494">
        <f>VLOOKUP(B32,Предвидение!$C$13:$V$50,10,0)</f>
        <v>7</v>
      </c>
      <c r="R32" s="494">
        <f>VLOOKUP(B32,Предвидение!$C$13:$V$50,19,0)</f>
        <v>5</v>
      </c>
      <c r="S32" s="489">
        <f t="shared" si="21"/>
        <v>3.6</v>
      </c>
      <c r="T32" s="495">
        <f t="shared" si="5"/>
        <v>4.6</v>
      </c>
      <c r="U32" s="492" t="str">
        <f>VLOOKUP(B32,Торпедо!$C$27:$U$56,19,0)</f>
        <v>21-23</v>
      </c>
      <c r="V32" s="489">
        <f>VLOOKUP(U32,Очки!$A$2:$B$84,2,0)</f>
        <v>11</v>
      </c>
      <c r="W32" s="548">
        <f>VLOOKUP($B32,Торпедо!$C$6:$U$23,10,0)+VLOOKUP($B32,Торпедо!$C$27:$U$56,10,0)</f>
        <v>11</v>
      </c>
      <c r="X32" s="546">
        <f>VLOOKUP($B32,Торпедо!$C$6:$U$23,18,0)+VLOOKUP($B32,Торпедо!$C$27:$U$56,18,0)</f>
        <v>13</v>
      </c>
      <c r="Y32" s="489">
        <f>ROUND(10*X32/(W32*2),1)</f>
        <v>5.9</v>
      </c>
      <c r="Z32" s="495">
        <f t="shared" si="16"/>
        <v>16.9</v>
      </c>
      <c r="AA32" s="65" t="str">
        <f>VLOOKUP(B32,ФФП!$C$7:$W$52,21,0)</f>
        <v>21-24</v>
      </c>
      <c r="AB32" s="489">
        <f>VLOOKUP(AA32,Очки!$A$2:$B$84,2,0)</f>
        <v>10.5</v>
      </c>
      <c r="AC32" s="56">
        <f>VLOOKUP(B32,ФФП!$C$7:$W$52,13,0)+1</f>
        <v>10</v>
      </c>
      <c r="AD32" s="56">
        <f>VLOOKUP(B32,ФФП!$C$7:$W$52,12,0)</f>
        <v>10</v>
      </c>
      <c r="AE32" s="489">
        <f t="shared" si="19"/>
        <v>5</v>
      </c>
      <c r="AF32" s="299">
        <f t="shared" si="20"/>
        <v>15.5</v>
      </c>
      <c r="AG32" s="66"/>
      <c r="AH32" s="16"/>
      <c r="AI32" s="15"/>
      <c r="AJ32" s="15"/>
      <c r="AK32" s="51"/>
      <c r="AL32" s="138"/>
      <c r="AM32" s="69">
        <f t="shared" si="11"/>
        <v>37</v>
      </c>
    </row>
    <row r="33" spans="1:39" ht="13.5" thickBot="1">
      <c r="A33" s="14">
        <v>30</v>
      </c>
      <c r="B33" s="59" t="s">
        <v>305</v>
      </c>
      <c r="C33" s="488">
        <f>VLOOKUP(B33,'Профи-Опен'!$C$19:$V$56,20,0)</f>
        <v>27</v>
      </c>
      <c r="D33" s="489">
        <f>VLOOKUP(C33,Очки!$A$2:$B$84,2,0)</f>
        <v>6</v>
      </c>
      <c r="E33" s="490">
        <f>VLOOKUP(B33,'Профи-Опен'!$C$19:$V$56,10,0)</f>
        <v>7</v>
      </c>
      <c r="F33" s="490">
        <f>VLOOKUP(B33,'Профи-Опен'!$C$19:$V$56,19,0)</f>
        <v>4</v>
      </c>
      <c r="G33" s="489">
        <f t="shared" si="22"/>
        <v>2.9</v>
      </c>
      <c r="H33" s="491">
        <f t="shared" si="23"/>
        <v>8.9</v>
      </c>
      <c r="I33" s="66" t="str">
        <f>VLOOKUP(B33,ФФП!$C$7:$V$52,19,FALSE)</f>
        <v> 206</v>
      </c>
      <c r="J33" s="16" t="e">
        <f>VLOOKUP(I33,Очки!$A$2:$B$83,2,0)</f>
        <v>#N/A</v>
      </c>
      <c r="K33" s="16">
        <f>VLOOKUP($B33,ФФП!$C$7:$V$52,11,0)</f>
        <v>0</v>
      </c>
      <c r="L33" s="16" t="str">
        <f>VLOOKUP($B33,ФФП!$C$7:$V$52,10,0)</f>
        <v>2 : 3</v>
      </c>
      <c r="M33" s="51" t="e">
        <f t="shared" si="17"/>
        <v>#DIV/0!</v>
      </c>
      <c r="N33" s="428" t="e">
        <f>J33+M33</f>
        <v>#N/A</v>
      </c>
      <c r="O33" s="492">
        <f>VLOOKUP(B33,Предвидение!$C$13:$V$50,20,0)</f>
        <v>16</v>
      </c>
      <c r="P33" s="489">
        <f>VLOOKUP(O33,Очки!$A$2:$B$84,2,0)</f>
        <v>17</v>
      </c>
      <c r="Q33" s="494">
        <f>VLOOKUP(B33,Предвидение!$C$13:$V$50,10,0)</f>
        <v>7</v>
      </c>
      <c r="R33" s="494">
        <f>VLOOKUP(B33,Предвидение!$C$13:$V$50,19,0)</f>
        <v>10</v>
      </c>
      <c r="S33" s="489">
        <f t="shared" si="21"/>
        <v>7.1</v>
      </c>
      <c r="T33" s="495">
        <f t="shared" si="5"/>
        <v>24.1</v>
      </c>
      <c r="U33" s="492"/>
      <c r="V33" s="493"/>
      <c r="W33" s="494">
        <f>VLOOKUP($B33,Торпедо!$C$6:$U$23,10,0)</f>
        <v>7</v>
      </c>
      <c r="X33" s="494">
        <f>VLOOKUP($B33,Торпедо!$C$6:$U$23,18,0)</f>
        <v>2</v>
      </c>
      <c r="Y33" s="489">
        <f>ROUND(10*X33/(W33*2),1)</f>
        <v>1.4</v>
      </c>
      <c r="Z33" s="495">
        <f t="shared" si="16"/>
        <v>1.4</v>
      </c>
      <c r="AA33" s="65" t="str">
        <f>VLOOKUP(B33,ФФП!$C$7:$W$52,21,0)</f>
        <v>37-40</v>
      </c>
      <c r="AB33" s="489">
        <f>VLOOKUP(AA33,Очки!$A$2:$B$84,2,0)</f>
        <v>0</v>
      </c>
      <c r="AC33" s="56">
        <f>VLOOKUP(B33,ФФП!$C$7:$W$52,13,0)</f>
        <v>9</v>
      </c>
      <c r="AD33" s="56">
        <f>VLOOKUP(B33,ФФП!$C$7:$W$52,12,0)</f>
        <v>4</v>
      </c>
      <c r="AE33" s="489">
        <f t="shared" si="19"/>
        <v>2.2</v>
      </c>
      <c r="AF33" s="299">
        <f t="shared" si="20"/>
        <v>2.2</v>
      </c>
      <c r="AG33" s="66" t="str">
        <f>VLOOKUP(B33,Форвард!$C$50:$Q$71,15,FALSE)</f>
        <v>13-15</v>
      </c>
      <c r="AH33" s="16">
        <f>VLOOKUP(AG33,Очки!$A$2:$B$83,2,0)</f>
        <v>19</v>
      </c>
      <c r="AI33" s="15">
        <f>VLOOKUP(B33,Форвард!$C$6:$Q$45,6,FALSE)+VLOOKUP(B33,Форвард!$C$50:$Q$71,6,FALSE)</f>
        <v>12</v>
      </c>
      <c r="AJ33" s="15">
        <f>VLOOKUP(B33,Форвард!$C$6:$Q$45,14,FALSE)+VLOOKUP(B33,Форвард!$C$50:$Q$71,14,FALSE)</f>
        <v>15</v>
      </c>
      <c r="AK33" s="51">
        <f>ROUND(((20-$AK$2+AI33)*AJ33/(AI33*3)/2),1)</f>
        <v>6.7</v>
      </c>
      <c r="AL33" s="138">
        <f>AH33+AK33</f>
        <v>25.7</v>
      </c>
      <c r="AM33" s="69">
        <f t="shared" si="11"/>
        <v>36.60000000000001</v>
      </c>
    </row>
    <row r="34" spans="1:39" ht="13.5" thickBot="1">
      <c r="A34" s="17">
        <v>31</v>
      </c>
      <c r="B34" s="59" t="s">
        <v>117</v>
      </c>
      <c r="C34" s="65"/>
      <c r="D34" s="55"/>
      <c r="E34" s="55"/>
      <c r="F34" s="55"/>
      <c r="G34" s="55"/>
      <c r="H34" s="299"/>
      <c r="I34" s="66" t="e">
        <f>VLOOKUP(B34,ФФП!#REF!,19,FALSE)</f>
        <v>#REF!</v>
      </c>
      <c r="J34" s="16" t="e">
        <f>VLOOKUP(I34,Очки!$A$2:$B$83,2,0)</f>
        <v>#REF!</v>
      </c>
      <c r="K34" s="16" t="e">
        <f>VLOOKUP($B34,ФФП!$C$7:$V$52,11,0)+VLOOKUP($B34,ФФП!#REF!,11,0)</f>
        <v>#REF!</v>
      </c>
      <c r="L34" s="16" t="e">
        <f>VLOOKUP($B34,ФФП!$C$7:$V$52,10,0)+VLOOKUP($B34,ФФП!#REF!,10,0)</f>
        <v>#REF!</v>
      </c>
      <c r="M34" s="51" t="e">
        <f t="shared" si="17"/>
        <v>#REF!</v>
      </c>
      <c r="N34" s="138" t="e">
        <f>J34+M34</f>
        <v>#REF!</v>
      </c>
      <c r="O34" s="492"/>
      <c r="P34" s="489"/>
      <c r="Q34" s="494"/>
      <c r="R34" s="494"/>
      <c r="S34" s="496"/>
      <c r="T34" s="497"/>
      <c r="U34" s="492"/>
      <c r="V34" s="489"/>
      <c r="W34" s="494"/>
      <c r="X34" s="494"/>
      <c r="Y34" s="496"/>
      <c r="Z34" s="497"/>
      <c r="AA34" s="65" t="str">
        <f>VLOOKUP(B34,ФФП!$C$64:$L$93,10,0)</f>
        <v>5-8</v>
      </c>
      <c r="AB34" s="489">
        <f>VLOOKUP(AA34,Очки!$A$2:$B$84,2,0)</f>
        <v>29</v>
      </c>
      <c r="AC34" s="56">
        <f>VLOOKUP(B34,ФФП!$C$7:$W$52,13,0)+VLOOKUP(B34,ФФП!$C$64:$L$93,3,0)</f>
        <v>13</v>
      </c>
      <c r="AD34" s="56">
        <f>VLOOKUP(B34,ФФП!$C$7:$W$52,12,0)+VLOOKUP(B34,ФФП!$C$64:$L$93,4,0)*2+VLOOKUP(B34,ФФП!$C$64:$L$93,5,0)</f>
        <v>19</v>
      </c>
      <c r="AE34" s="489">
        <f t="shared" si="19"/>
        <v>7.3</v>
      </c>
      <c r="AF34" s="299">
        <f t="shared" si="20"/>
        <v>36.3</v>
      </c>
      <c r="AG34" s="66"/>
      <c r="AH34" s="16"/>
      <c r="AI34" s="15"/>
      <c r="AJ34" s="15"/>
      <c r="AK34" s="51"/>
      <c r="AL34" s="138"/>
      <c r="AM34" s="69">
        <f t="shared" si="11"/>
        <v>36.3</v>
      </c>
    </row>
    <row r="35" spans="1:39" ht="13.5" thickBot="1">
      <c r="A35" s="14">
        <v>32</v>
      </c>
      <c r="B35" s="60" t="s">
        <v>45</v>
      </c>
      <c r="C35" s="488">
        <f>VLOOKUP(B35,'Профи-Опен'!$C$19:$V$56,20,0)</f>
        <v>32</v>
      </c>
      <c r="D35" s="489">
        <f>VLOOKUP(C35,Очки!$A$2:$B$84,2,0)</f>
        <v>1</v>
      </c>
      <c r="E35" s="490">
        <f>VLOOKUP(B35,'Профи-Опен'!$C$19:$V$56,10,0)</f>
        <v>7</v>
      </c>
      <c r="F35" s="490">
        <f>VLOOKUP(B35,'Профи-Опен'!$C$19:$V$56,19,0)</f>
        <v>1</v>
      </c>
      <c r="G35" s="489">
        <f>ROUND(10*F35/(E35*2),1)</f>
        <v>0.7</v>
      </c>
      <c r="H35" s="491">
        <f>D35+G35</f>
        <v>1.7</v>
      </c>
      <c r="I35" s="66" t="e">
        <f>VLOOKUP(B35,ФФП!#REF!,23,FALSE)</f>
        <v>#REF!</v>
      </c>
      <c r="J35" s="16" t="e">
        <f>VLOOKUP(I35,Очки!$A$2:$B$83,2,0)</f>
        <v>#REF!</v>
      </c>
      <c r="K35" s="16" t="e">
        <f>VLOOKUP($B35,ФФП!$C$7:$V$52,11,0)+VLOOKUP($B35,ФФП!#REF!,11,0)+VLOOKUP($B35,ФФП!#REF!,15,0)</f>
        <v>#REF!</v>
      </c>
      <c r="L35" s="16" t="e">
        <f>VLOOKUP($B35,ФФП!$C$7:$V$52,10,0)+VLOOKUP($B35,ФФП!#REF!,10,0)+VLOOKUP($B35,ФФП!#REF!,14,0)</f>
        <v>#REF!</v>
      </c>
      <c r="M35" s="51" t="e">
        <f t="shared" si="17"/>
        <v>#REF!</v>
      </c>
      <c r="N35" s="138" t="e">
        <f>J35+M35</f>
        <v>#REF!</v>
      </c>
      <c r="O35" s="492">
        <f>VLOOKUP(B35,Предвидение!$C$13:$V$50,20,0)</f>
        <v>16</v>
      </c>
      <c r="P35" s="489">
        <f>VLOOKUP(O35,Очки!$A$2:$B$84,2,0)</f>
        <v>17</v>
      </c>
      <c r="Q35" s="494">
        <f>VLOOKUP(B35,Предвидение!$C$13:$V$50,10,0)</f>
        <v>7</v>
      </c>
      <c r="R35" s="494">
        <f>VLOOKUP(B35,Предвидение!$C$13:$V$50,19,0)</f>
        <v>7</v>
      </c>
      <c r="S35" s="489">
        <f>ROUND(10*R35/(Q35*2),1)</f>
        <v>5</v>
      </c>
      <c r="T35" s="495">
        <f>P35+S35</f>
        <v>22</v>
      </c>
      <c r="U35" s="492"/>
      <c r="V35" s="493"/>
      <c r="W35" s="494">
        <f>VLOOKUP($B35,Торпедо!$C$6:$U$23,10,0)</f>
        <v>6</v>
      </c>
      <c r="X35" s="494">
        <f>VLOOKUP($B35,Торпедо!$C$6:$U$23,18,0)</f>
        <v>2</v>
      </c>
      <c r="Y35" s="489">
        <f>ROUND(10*X35/(W35*2),1)</f>
        <v>1.7</v>
      </c>
      <c r="Z35" s="495">
        <f>V35+Y35</f>
        <v>1.7</v>
      </c>
      <c r="AA35" s="65" t="str">
        <f>VLOOKUP(B35,ФФП!$C$7:$W$52,21,0)</f>
        <v>25-28</v>
      </c>
      <c r="AB35" s="489">
        <f>VLOOKUP(AA35,Очки!$A$2:$B$84,2,0)</f>
        <v>6.5</v>
      </c>
      <c r="AC35" s="56">
        <f>VLOOKUP(B35,ФФП!$C$7:$W$52,13,0)</f>
        <v>9</v>
      </c>
      <c r="AD35" s="56">
        <f>VLOOKUP(B35,ФФП!$C$7:$W$52,12,0)</f>
        <v>7</v>
      </c>
      <c r="AE35" s="489">
        <f t="shared" si="19"/>
        <v>3.9</v>
      </c>
      <c r="AF35" s="299">
        <f t="shared" si="20"/>
        <v>10.4</v>
      </c>
      <c r="AG35" s="66"/>
      <c r="AH35" s="16"/>
      <c r="AI35" s="15"/>
      <c r="AJ35" s="15"/>
      <c r="AK35" s="51"/>
      <c r="AL35" s="138"/>
      <c r="AM35" s="69">
        <f t="shared" si="11"/>
        <v>35.8</v>
      </c>
    </row>
    <row r="36" spans="1:39" ht="13.5" thickBot="1">
      <c r="A36" s="17">
        <v>33</v>
      </c>
      <c r="B36" s="60" t="s">
        <v>316</v>
      </c>
      <c r="C36" s="65"/>
      <c r="D36" s="55"/>
      <c r="E36" s="55"/>
      <c r="F36" s="55"/>
      <c r="G36" s="55"/>
      <c r="H36" s="299"/>
      <c r="I36" s="66" t="e">
        <f>VLOOKUP(B36,ФФП!#REF!,19,FALSE)</f>
        <v>#REF!</v>
      </c>
      <c r="J36" s="16" t="e">
        <f>VLOOKUP(I36,Очки!$A$2:$B$83,2,0)</f>
        <v>#REF!</v>
      </c>
      <c r="K36" s="16" t="e">
        <f>VLOOKUP($B36,ФФП!$C$7:$V$52,11,0)+VLOOKUP($B36,ФФП!#REF!,11,0)</f>
        <v>#REF!</v>
      </c>
      <c r="L36" s="16" t="e">
        <f>VLOOKUP($B36,ФФП!$C$7:$V$52,10,0)+VLOOKUP($B36,ФФП!#REF!,10,0)</f>
        <v>#REF!</v>
      </c>
      <c r="M36" s="51" t="e">
        <f t="shared" si="17"/>
        <v>#REF!</v>
      </c>
      <c r="N36" s="138" t="e">
        <f>J36+M36</f>
        <v>#REF!</v>
      </c>
      <c r="O36" s="492"/>
      <c r="P36" s="493"/>
      <c r="Q36" s="494"/>
      <c r="R36" s="494"/>
      <c r="S36" s="496"/>
      <c r="T36" s="495"/>
      <c r="U36" s="492"/>
      <c r="V36" s="493"/>
      <c r="W36" s="494"/>
      <c r="X36" s="494"/>
      <c r="Y36" s="496"/>
      <c r="Z36" s="495"/>
      <c r="AA36" s="65" t="str">
        <f>VLOOKUP(B36,ФФП!$C$64:$L$93,10,0)</f>
        <v>5-8</v>
      </c>
      <c r="AB36" s="489">
        <f>VLOOKUP(AA36,Очки!$A$2:$B$84,2,0)</f>
        <v>29</v>
      </c>
      <c r="AC36" s="56">
        <f>VLOOKUP(B36,ФФП!$C$7:$W$52,13,0)+VLOOKUP(B36,ФФП!$C$64:$L$93,3,0)</f>
        <v>15</v>
      </c>
      <c r="AD36" s="56">
        <f>VLOOKUP(B36,ФФП!$C$7:$W$52,12,0)+VLOOKUP(B36,ФФП!$C$64:$L$93,4,0)*2+VLOOKUP(B36,ФФП!$C$64:$L$93,5,0)</f>
        <v>20</v>
      </c>
      <c r="AE36" s="489">
        <f t="shared" si="19"/>
        <v>6.7</v>
      </c>
      <c r="AF36" s="299">
        <f t="shared" si="20"/>
        <v>35.7</v>
      </c>
      <c r="AG36" s="66"/>
      <c r="AH36" s="16"/>
      <c r="AI36" s="15"/>
      <c r="AJ36" s="15"/>
      <c r="AK36" s="51"/>
      <c r="AL36" s="138"/>
      <c r="AM36" s="69">
        <f aca="true" t="shared" si="24" ref="AM36:AM56">H36+Z36+T36+AF36</f>
        <v>35.7</v>
      </c>
    </row>
    <row r="37" spans="1:39" ht="27" customHeight="1" thickBot="1">
      <c r="A37" s="14">
        <v>34</v>
      </c>
      <c r="B37" s="59" t="s">
        <v>673</v>
      </c>
      <c r="C37" s="65"/>
      <c r="D37" s="55"/>
      <c r="E37" s="56">
        <f>VLOOKUP(B37,'Профи-Опен'!$C$7:$Q$16,6,0)</f>
        <v>2</v>
      </c>
      <c r="F37" s="56">
        <f>VLOOKUP(B37,'Профи-Опен'!$C$7:$Q$17,15,0)</f>
        <v>0</v>
      </c>
      <c r="G37" s="55">
        <f>ROUND(10*F37/(E37*2),1)</f>
        <v>0</v>
      </c>
      <c r="H37" s="299">
        <f>D37+G37</f>
        <v>0</v>
      </c>
      <c r="I37" s="66" t="str">
        <f>VLOOKUP(B37,ФФП!$C$7:$V$52,19,FALSE)</f>
        <v> 233</v>
      </c>
      <c r="J37" s="16" t="e">
        <f>VLOOKUP(I37,Очки!$A$2:$B$83,2,0)</f>
        <v>#N/A</v>
      </c>
      <c r="K37" s="16" t="str">
        <f>VLOOKUP($B37,ФФП!$C$7:$V$52,11,0)</f>
        <v>5 : 0</v>
      </c>
      <c r="L37" s="16" t="str">
        <f>VLOOKUP($B37,ФФП!$C$7:$V$52,10,0)</f>
        <v>4 : 2</v>
      </c>
      <c r="M37" s="51">
        <f t="shared" si="17"/>
        <v>2.7</v>
      </c>
      <c r="N37" s="138"/>
      <c r="O37" s="492">
        <f>VLOOKUP(B37,Предвидение!$C$13:$V$50,20,0)</f>
        <v>32</v>
      </c>
      <c r="P37" s="489">
        <f>VLOOKUP(O37,Очки!$A$2:$B$84,2,0)</f>
        <v>1</v>
      </c>
      <c r="Q37" s="494">
        <f>VLOOKUP($B37,Предвидение!$C$7:$R$10,6,0)+VLOOKUP(B37,Предвидение!$C$13:$V$50,10,0)</f>
        <v>10</v>
      </c>
      <c r="R37" s="494">
        <f>VLOOKUP($B37,Предвидение!$C$7:$R$10,15,0)+VLOOKUP(B37,Предвидение!$C$13:$V$50,19,0)</f>
        <v>10</v>
      </c>
      <c r="S37" s="489">
        <f>ROUND(10*R37/(Q37*2),1)</f>
        <v>5</v>
      </c>
      <c r="T37" s="495">
        <f>P37+S37</f>
        <v>6</v>
      </c>
      <c r="U37" s="492">
        <f>VLOOKUP(B37,Торпедо!$C$27:$U$56,19,0)</f>
        <v>20</v>
      </c>
      <c r="V37" s="489">
        <f>VLOOKUP(U37,Очки!$A$2:$B$84,2,0)</f>
        <v>13</v>
      </c>
      <c r="W37" s="548">
        <f>VLOOKUP($B37,Торпедо!$C$6:$U$23,10,0)+VLOOKUP($B37,Торпедо!$C$27:$U$56,10,0)</f>
        <v>12</v>
      </c>
      <c r="X37" s="546">
        <f>VLOOKUP($B37,Торпедо!$C$6:$U$23,18,0)+VLOOKUP($B37,Торпедо!$C$27:$U$56,18,0)</f>
        <v>15</v>
      </c>
      <c r="Y37" s="489">
        <f>ROUND(10*X37/(W37*2),1)</f>
        <v>6.3</v>
      </c>
      <c r="Z37" s="495">
        <f>V37+Y37</f>
        <v>19.3</v>
      </c>
      <c r="AA37" s="65" t="str">
        <f>VLOOKUP(B37,ФФП!$C$7:$W$52,21,0)</f>
        <v>29-32</v>
      </c>
      <c r="AB37" s="489">
        <f>VLOOKUP(AA37,Очки!$A$2:$B$84,2,0)</f>
        <v>2.5</v>
      </c>
      <c r="AC37" s="56">
        <f>VLOOKUP(B37,ФФП!$C$7:$W$52,13,0)</f>
        <v>9</v>
      </c>
      <c r="AD37" s="56">
        <f>VLOOKUP(B37,ФФП!$C$7:$W$52,12,0)</f>
        <v>6</v>
      </c>
      <c r="AE37" s="489">
        <f t="shared" si="19"/>
        <v>3.3</v>
      </c>
      <c r="AF37" s="299">
        <f t="shared" si="20"/>
        <v>5.8</v>
      </c>
      <c r="AG37" s="66"/>
      <c r="AH37" s="16"/>
      <c r="AI37" s="15"/>
      <c r="AJ37" s="15"/>
      <c r="AK37" s="51"/>
      <c r="AL37" s="138"/>
      <c r="AM37" s="69">
        <f t="shared" si="24"/>
        <v>31.1</v>
      </c>
    </row>
    <row r="38" spans="1:39" ht="13.5" thickBot="1">
      <c r="A38" s="17">
        <v>35</v>
      </c>
      <c r="B38" s="59" t="s">
        <v>301</v>
      </c>
      <c r="C38" s="65"/>
      <c r="D38" s="55"/>
      <c r="E38" s="55"/>
      <c r="F38" s="55"/>
      <c r="G38" s="55"/>
      <c r="H38" s="299"/>
      <c r="I38" s="66" t="e">
        <f>VLOOKUP(B38,ФФП!#REF!,19,FALSE)</f>
        <v>#REF!</v>
      </c>
      <c r="J38" s="16" t="e">
        <f>VLOOKUP(I38,Очки!$A$2:$B$83,2,0)</f>
        <v>#REF!</v>
      </c>
      <c r="K38" s="16" t="e">
        <f>VLOOKUP($B38,ФФП!$C$7:$V$52,11,0)+VLOOKUP($B38,ФФП!#REF!,11,0)</f>
        <v>#REF!</v>
      </c>
      <c r="L38" s="16" t="e">
        <f>VLOOKUP($B38,ФФП!$C$7:$V$52,10,0)+VLOOKUP($B38,ФФП!#REF!,10,0)</f>
        <v>#REF!</v>
      </c>
      <c r="M38" s="51" t="e">
        <f t="shared" si="17"/>
        <v>#REF!</v>
      </c>
      <c r="N38" s="138" t="e">
        <f aca="true" t="shared" si="25" ref="N38:N48">J38+M38</f>
        <v>#REF!</v>
      </c>
      <c r="O38" s="492"/>
      <c r="P38" s="493"/>
      <c r="Q38" s="494"/>
      <c r="R38" s="494"/>
      <c r="S38" s="496"/>
      <c r="T38" s="495">
        <f>P38+S38</f>
        <v>0</v>
      </c>
      <c r="U38" s="492"/>
      <c r="V38" s="493"/>
      <c r="W38" s="494"/>
      <c r="X38" s="494"/>
      <c r="Y38" s="496"/>
      <c r="Z38" s="495">
        <f>V38+Y38</f>
        <v>0</v>
      </c>
      <c r="AA38" s="65" t="str">
        <f>VLOOKUP(B38,ФФП!$C$64:$L$93,10,0)</f>
        <v>9-16</v>
      </c>
      <c r="AB38" s="489">
        <f>VLOOKUP(AA38,Очки!$A$2:$B$84,2,0)</f>
        <v>20.5</v>
      </c>
      <c r="AC38" s="56">
        <f>VLOOKUP(B38,ФФП!$C$7:$W$52,13,0)+VLOOKUP(B38,ФФП!$C$64:$L$93,3,0)</f>
        <v>12</v>
      </c>
      <c r="AD38" s="56">
        <f>VLOOKUP(B38,ФФП!$C$7:$W$52,12,0)+VLOOKUP(B38,ФФП!$C$64:$L$93,4,0)*2+VLOOKUP(B38,ФФП!$C$64:$L$93,5,0)</f>
        <v>16</v>
      </c>
      <c r="AE38" s="489">
        <f t="shared" si="19"/>
        <v>6.7</v>
      </c>
      <c r="AF38" s="299">
        <f t="shared" si="20"/>
        <v>27.2</v>
      </c>
      <c r="AG38" s="66" t="str">
        <f>VLOOKUP(B38,Форвард!$C$6:$Q$45,15,FALSE)</f>
        <v>22-28</v>
      </c>
      <c r="AH38" s="16">
        <f>VLOOKUP(AG38,Очки!$A$2:$B$83,2,0)</f>
        <v>8</v>
      </c>
      <c r="AI38" s="15">
        <f>VLOOKUP(B38,Форвард!$C$6:$Q$45,6,FALSE)</f>
        <v>6</v>
      </c>
      <c r="AJ38" s="15">
        <f>VLOOKUP(B38,Форвард!$C$6:$Q$45,14,FALSE)</f>
        <v>4</v>
      </c>
      <c r="AK38" s="51">
        <f>ROUND(((20-$AK$2+AI38)*AJ38/(AI38*3)/2),1)</f>
        <v>2.9</v>
      </c>
      <c r="AL38" s="138">
        <f>AH38+AK38</f>
        <v>10.9</v>
      </c>
      <c r="AM38" s="69">
        <f t="shared" si="24"/>
        <v>27.2</v>
      </c>
    </row>
    <row r="39" spans="1:39" ht="13.5" thickBot="1">
      <c r="A39" s="14">
        <v>36</v>
      </c>
      <c r="B39" s="59" t="s">
        <v>119</v>
      </c>
      <c r="C39" s="65"/>
      <c r="D39" s="55"/>
      <c r="E39" s="55"/>
      <c r="F39" s="55"/>
      <c r="G39" s="55"/>
      <c r="H39" s="299"/>
      <c r="I39" s="66" t="e">
        <f>VLOOKUP(B39,ФФП!#REF!,19,FALSE)</f>
        <v>#REF!</v>
      </c>
      <c r="J39" s="16" t="e">
        <f>VLOOKUP(I39,Очки!$A$2:$B$83,2,0)</f>
        <v>#REF!</v>
      </c>
      <c r="K39" s="16" t="e">
        <f>VLOOKUP($B39,ФФП!$C$7:$V$52,11,0)+VLOOKUP($B39,ФФП!#REF!,11,0)</f>
        <v>#REF!</v>
      </c>
      <c r="L39" s="16" t="e">
        <f>VLOOKUP($B39,ФФП!$C$7:$V$52,10,0)+VLOOKUP($B39,ФФП!#REF!,10,0)</f>
        <v>#REF!</v>
      </c>
      <c r="M39" s="51" t="e">
        <f t="shared" si="17"/>
        <v>#REF!</v>
      </c>
      <c r="N39" s="138" t="e">
        <f t="shared" si="25"/>
        <v>#REF!</v>
      </c>
      <c r="O39" s="492"/>
      <c r="P39" s="489"/>
      <c r="Q39" s="494"/>
      <c r="R39" s="494"/>
      <c r="S39" s="496"/>
      <c r="T39" s="497"/>
      <c r="U39" s="492"/>
      <c r="V39" s="489"/>
      <c r="W39" s="494"/>
      <c r="X39" s="494"/>
      <c r="Y39" s="496"/>
      <c r="Z39" s="497"/>
      <c r="AA39" s="65" t="str">
        <f>VLOOKUP(B39,ФФП!$C$64:$L$93,10,0)</f>
        <v>9-16</v>
      </c>
      <c r="AB39" s="489">
        <f>VLOOKUP(AA39,Очки!$A$2:$B$84,2,0)</f>
        <v>20.5</v>
      </c>
      <c r="AC39" s="56">
        <f>VLOOKUP(B39,ФФП!$C$7:$W$52,13,0)+1+VLOOKUP(B39,ФФП!$C$64:$L$93,3,0)</f>
        <v>16</v>
      </c>
      <c r="AD39" s="56">
        <f>VLOOKUP(B39,ФФП!$C$7:$W$52,12,0)+2+VLOOKUP(B39,ФФП!$C$64:$L$93,4,0)*2+VLOOKUP(B39,ФФП!$C$64:$L$93,5,0)</f>
        <v>17</v>
      </c>
      <c r="AE39" s="489">
        <f t="shared" si="19"/>
        <v>5.3</v>
      </c>
      <c r="AF39" s="299">
        <f t="shared" si="20"/>
        <v>25.8</v>
      </c>
      <c r="AG39" s="66"/>
      <c r="AH39" s="16"/>
      <c r="AI39" s="15"/>
      <c r="AJ39" s="15"/>
      <c r="AK39" s="51"/>
      <c r="AL39" s="138"/>
      <c r="AM39" s="69">
        <f t="shared" si="24"/>
        <v>25.8</v>
      </c>
    </row>
    <row r="40" spans="1:39" ht="26.25" thickBot="1">
      <c r="A40" s="17">
        <v>37</v>
      </c>
      <c r="B40" s="393" t="s">
        <v>232</v>
      </c>
      <c r="C40" s="488">
        <f>VLOOKUP(B40,'Профи-Опен'!$C$19:$V$56,20,0)</f>
        <v>26</v>
      </c>
      <c r="D40" s="489">
        <f>VLOOKUP(C40,Очки!$A$2:$B$84,2,0)</f>
        <v>7</v>
      </c>
      <c r="E40" s="490">
        <f>VLOOKUP(B40,'Профи-Опен'!$C$19:$V$56,10,0)</f>
        <v>7</v>
      </c>
      <c r="F40" s="490">
        <f>VLOOKUP(B40,'Профи-Опен'!$C$19:$V$56,19,0)</f>
        <v>4</v>
      </c>
      <c r="G40" s="489">
        <f>ROUND(10*F40/(E40*2),1)</f>
        <v>2.9</v>
      </c>
      <c r="H40" s="491">
        <f>D40+G40</f>
        <v>9.9</v>
      </c>
      <c r="I40" s="66" t="e">
        <f>VLOOKUP(B40,ФФП!#REF!,19,FALSE)</f>
        <v>#REF!</v>
      </c>
      <c r="J40" s="16" t="e">
        <f>VLOOKUP(I40,Очки!$A$2:$B$83,2,0)</f>
        <v>#REF!</v>
      </c>
      <c r="K40" s="16" t="e">
        <f>VLOOKUP($B40,ФФП!$C$7:$V$52,11,0)+VLOOKUP($B40,ФФП!#REF!,11,0)</f>
        <v>#REF!</v>
      </c>
      <c r="L40" s="16" t="e">
        <f>VLOOKUP($B40,ФФП!$C$7:$V$52,10,0)+VLOOKUP($B40,ФФП!#REF!,10,0)</f>
        <v>#REF!</v>
      </c>
      <c r="M40" s="51" t="e">
        <f t="shared" si="17"/>
        <v>#REF!</v>
      </c>
      <c r="N40" s="138" t="e">
        <f t="shared" si="25"/>
        <v>#REF!</v>
      </c>
      <c r="O40" s="492"/>
      <c r="P40" s="493"/>
      <c r="Q40" s="494">
        <f>VLOOKUP($B40,Предвидение!$C$7:$R$10,6,0)</f>
        <v>3</v>
      </c>
      <c r="R40" s="494">
        <f>VLOOKUP($B40,Предвидение!$C$7:$R$10,15,0)</f>
        <v>2</v>
      </c>
      <c r="S40" s="489">
        <f>ROUND(10*R40/(Q40*2),1)</f>
        <v>3.3</v>
      </c>
      <c r="T40" s="495">
        <f>P40+S40</f>
        <v>3.3</v>
      </c>
      <c r="U40" s="492" t="str">
        <f>VLOOKUP(B40,Торпедо!$C$27:$U$56,19,0)</f>
        <v>32-35</v>
      </c>
      <c r="V40" s="489">
        <f>VLOOKUP(U40,Очки!$A$2:$B$84,2,0)</f>
        <v>0.3</v>
      </c>
      <c r="W40" s="548">
        <f>VLOOKUP($B40,Торпедо!$C$27:$U$56,10,0)</f>
        <v>5</v>
      </c>
      <c r="X40" s="494">
        <f>VLOOKUP($B40,Торпедо!$C$27:$U$56,18,0)</f>
        <v>1</v>
      </c>
      <c r="Y40" s="489">
        <f>ROUND(10*X40/(W40*2),1)</f>
        <v>1</v>
      </c>
      <c r="Z40" s="495">
        <f>V40+Y40</f>
        <v>1.3</v>
      </c>
      <c r="AA40" s="65" t="str">
        <f>VLOOKUP(B40,ФФП!$C$7:$W$52,21,0)</f>
        <v>25-28</v>
      </c>
      <c r="AB40" s="489">
        <f>VLOOKUP(AA40,Очки!$A$2:$B$84,2,0)</f>
        <v>6.5</v>
      </c>
      <c r="AC40" s="56">
        <f>VLOOKUP(B40,ФФП!$C$7:$W$52,13,0)</f>
        <v>9</v>
      </c>
      <c r="AD40" s="56">
        <f>VLOOKUP(B40,ФФП!$C$7:$W$52,12,0)</f>
        <v>8</v>
      </c>
      <c r="AE40" s="489">
        <f t="shared" si="19"/>
        <v>4.4</v>
      </c>
      <c r="AF40" s="299">
        <f t="shared" si="20"/>
        <v>10.9</v>
      </c>
      <c r="AG40" s="66" t="str">
        <f>VLOOKUP(B40,Форвард!$C$50:$Q$71,15,FALSE)</f>
        <v>5-8</v>
      </c>
      <c r="AH40" s="16">
        <f>VLOOKUP(AG40,Очки!$A$2:$B$83,2,0)</f>
        <v>29</v>
      </c>
      <c r="AI40" s="15">
        <f>VLOOKUP(B40,Форвард!$C$6:$Q$45,6,FALSE)+VLOOKUP(B40,Форвард!$C$50:$Q$71,6,FALSE)</f>
        <v>12</v>
      </c>
      <c r="AJ40" s="15">
        <f>VLOOKUP(B40,Форвард!$C$6:$Q$45,14,FALSE)+VLOOKUP(B40,Форвард!$C$50:$Q$71,14,FALSE)</f>
        <v>25</v>
      </c>
      <c r="AK40" s="51">
        <f>ROUND(((20-$AK$2+AI40)*AJ40/(AI40*3)/2),1)</f>
        <v>11.1</v>
      </c>
      <c r="AL40" s="138">
        <f>AH40+AK40</f>
        <v>40.1</v>
      </c>
      <c r="AM40" s="69">
        <f t="shared" si="24"/>
        <v>25.4</v>
      </c>
    </row>
    <row r="41" spans="1:39" ht="13.5" thickBot="1">
      <c r="A41" s="14">
        <v>38</v>
      </c>
      <c r="B41" s="59" t="s">
        <v>308</v>
      </c>
      <c r="C41" s="488">
        <f>VLOOKUP(B41,'Профи-Опен'!$C$19:$V$56,20,0)</f>
        <v>29</v>
      </c>
      <c r="D41" s="489">
        <f>VLOOKUP(C41,Очки!$A$2:$B$84,2,0)</f>
        <v>4</v>
      </c>
      <c r="E41" s="490">
        <f>VLOOKUP(B41,'Профи-Опен'!$C$19:$V$56,10,0)</f>
        <v>7</v>
      </c>
      <c r="F41" s="490">
        <f>VLOOKUP(B41,'Профи-Опен'!$C$19:$V$56,19,0)</f>
        <v>3</v>
      </c>
      <c r="G41" s="489">
        <f>ROUND(10*F41/(E41*2),1)</f>
        <v>2.1</v>
      </c>
      <c r="H41" s="491">
        <f>D41+G41</f>
        <v>6.1</v>
      </c>
      <c r="I41" s="66" t="e">
        <f>VLOOKUP(B41,ФФП!#REF!,23,FALSE)</f>
        <v>#REF!</v>
      </c>
      <c r="J41" s="16" t="e">
        <f>VLOOKUP(I41,Очки!$A$2:$B$83,2,0)</f>
        <v>#REF!</v>
      </c>
      <c r="K41" s="16" t="e">
        <f>VLOOKUP($B41,ФФП!$C$7:$V$52,11,0)+VLOOKUP($B41,ФФП!#REF!,11,0)+VLOOKUP($B41,ФФП!#REF!,15,0)</f>
        <v>#REF!</v>
      </c>
      <c r="L41" s="16" t="e">
        <f>VLOOKUP($B41,ФФП!$C$7:$V$52,10,0)+VLOOKUP($B41,ФФП!#REF!,10,0)+VLOOKUP($B41,ФФП!#REF!,14,0)</f>
        <v>#REF!</v>
      </c>
      <c r="M41" s="51" t="e">
        <f t="shared" si="17"/>
        <v>#REF!</v>
      </c>
      <c r="N41" s="138" t="e">
        <f t="shared" si="25"/>
        <v>#REF!</v>
      </c>
      <c r="O41" s="492"/>
      <c r="P41" s="489"/>
      <c r="Q41" s="494"/>
      <c r="R41" s="494"/>
      <c r="S41" s="496"/>
      <c r="T41" s="497"/>
      <c r="U41" s="492"/>
      <c r="V41" s="489"/>
      <c r="W41" s="494"/>
      <c r="X41" s="494"/>
      <c r="Y41" s="496"/>
      <c r="Z41" s="497"/>
      <c r="AA41" s="65" t="str">
        <f>VLOOKUP(B41,ФФП!$C$7:$W$52,21,0)</f>
        <v>21-24</v>
      </c>
      <c r="AB41" s="489">
        <f>VLOOKUP(AA41,Очки!$A$2:$B$84,2,0)</f>
        <v>10.5</v>
      </c>
      <c r="AC41" s="56">
        <f>VLOOKUP(B41,ФФП!$C$7:$W$52,13,0)</f>
        <v>9</v>
      </c>
      <c r="AD41" s="56">
        <f>VLOOKUP(B41,ФФП!$C$7:$W$52,12,0)</f>
        <v>8</v>
      </c>
      <c r="AE41" s="489">
        <f t="shared" si="19"/>
        <v>4.4</v>
      </c>
      <c r="AF41" s="299">
        <f t="shared" si="20"/>
        <v>14.9</v>
      </c>
      <c r="AG41" s="66"/>
      <c r="AH41" s="16"/>
      <c r="AI41" s="15"/>
      <c r="AJ41" s="15"/>
      <c r="AK41" s="51"/>
      <c r="AL41" s="138"/>
      <c r="AM41" s="69">
        <f t="shared" si="24"/>
        <v>21</v>
      </c>
    </row>
    <row r="42" spans="1:39" ht="13.5" thickBot="1">
      <c r="A42" s="17">
        <v>39</v>
      </c>
      <c r="B42" s="59" t="s">
        <v>312</v>
      </c>
      <c r="C42" s="65"/>
      <c r="D42" s="55"/>
      <c r="E42" s="56">
        <f>VLOOKUP(B42,'Профи-Опен'!$C$7:$Q$16,6,0)</f>
        <v>2</v>
      </c>
      <c r="F42" s="56">
        <f>VLOOKUP(B42,'Профи-Опен'!$C$7:$Q$17,15,0)</f>
        <v>0</v>
      </c>
      <c r="G42" s="55">
        <f>ROUND(10*F42/(E42*2),1)</f>
        <v>0</v>
      </c>
      <c r="H42" s="299">
        <f>D42+G42</f>
        <v>0</v>
      </c>
      <c r="I42" s="66" t="e">
        <f>VLOOKUP(B42,ФФП!#REF!,19,FALSE)</f>
        <v>#REF!</v>
      </c>
      <c r="J42" s="16" t="e">
        <f>VLOOKUP(I42,Очки!$A$2:$B$83,2,0)</f>
        <v>#REF!</v>
      </c>
      <c r="K42" s="16" t="e">
        <f>VLOOKUP($B42,ФФП!$C$7:$V$52,11,0)+VLOOKUP($B42,ФФП!#REF!,11,0)</f>
        <v>#N/A</v>
      </c>
      <c r="L42" s="16" t="e">
        <f>VLOOKUP($B42,ФФП!$C$7:$V$52,10,0)+VLOOKUP($B42,ФФП!#REF!,10,0)</f>
        <v>#N/A</v>
      </c>
      <c r="M42" s="51" t="e">
        <f t="shared" si="17"/>
        <v>#N/A</v>
      </c>
      <c r="N42" s="138" t="e">
        <f t="shared" si="25"/>
        <v>#REF!</v>
      </c>
      <c r="O42" s="492"/>
      <c r="P42" s="493"/>
      <c r="Q42" s="494"/>
      <c r="R42" s="494"/>
      <c r="S42" s="496"/>
      <c r="T42" s="495">
        <f>P42+S42</f>
        <v>0</v>
      </c>
      <c r="U42" s="492">
        <f>VLOOKUP(B42,Торпедо!$C$27:$U$56,19,0)</f>
        <v>20</v>
      </c>
      <c r="V42" s="489">
        <f>VLOOKUP(U42,Очки!$A$2:$B$84,2,0)</f>
        <v>13</v>
      </c>
      <c r="W42" s="548">
        <f>VLOOKUP($B42,Торпедо!$C$27:$U$56,10,0)</f>
        <v>5</v>
      </c>
      <c r="X42" s="494">
        <f>VLOOKUP($B42,Торпедо!$C$27:$U$56,18,0)</f>
        <v>8</v>
      </c>
      <c r="Y42" s="489">
        <f>ROUND(10*X42/(W42*2),1)</f>
        <v>8</v>
      </c>
      <c r="Z42" s="495">
        <f>V42+Y42</f>
        <v>21</v>
      </c>
      <c r="AA42" s="65"/>
      <c r="AB42" s="489"/>
      <c r="AC42" s="56"/>
      <c r="AD42" s="56"/>
      <c r="AE42" s="55"/>
      <c r="AF42" s="299"/>
      <c r="AG42" s="66"/>
      <c r="AH42" s="16"/>
      <c r="AI42" s="15"/>
      <c r="AJ42" s="15"/>
      <c r="AK42" s="51"/>
      <c r="AL42" s="138"/>
      <c r="AM42" s="69">
        <f t="shared" si="24"/>
        <v>21</v>
      </c>
    </row>
    <row r="43" spans="1:39" ht="13.5" thickBot="1">
      <c r="A43" s="14">
        <v>40</v>
      </c>
      <c r="B43" s="59" t="s">
        <v>121</v>
      </c>
      <c r="C43" s="65"/>
      <c r="D43" s="55"/>
      <c r="E43" s="55"/>
      <c r="F43" s="55"/>
      <c r="G43" s="55"/>
      <c r="H43" s="299"/>
      <c r="I43" s="66" t="e">
        <f>VLOOKUP(B43,ФФП!#REF!,19,FALSE)</f>
        <v>#REF!</v>
      </c>
      <c r="J43" s="16" t="e">
        <f>VLOOKUP(I43,Очки!$A$2:$B$83,2,0)</f>
        <v>#REF!</v>
      </c>
      <c r="K43" s="16" t="e">
        <f>VLOOKUP($B43,ФФП!$C$7:$V$52,11,0)+VLOOKUP($B43,ФФП!#REF!,11,0)</f>
        <v>#REF!</v>
      </c>
      <c r="L43" s="16" t="e">
        <f>VLOOKUP($B43,ФФП!$C$7:$V$52,10,0)+VLOOKUP($B43,ФФП!#REF!,10,0)</f>
        <v>#REF!</v>
      </c>
      <c r="M43" s="51" t="e">
        <f t="shared" si="17"/>
        <v>#REF!</v>
      </c>
      <c r="N43" s="138" t="e">
        <f t="shared" si="25"/>
        <v>#REF!</v>
      </c>
      <c r="O43" s="492"/>
      <c r="P43" s="489"/>
      <c r="Q43" s="494"/>
      <c r="R43" s="494"/>
      <c r="S43" s="496"/>
      <c r="T43" s="497"/>
      <c r="U43" s="492"/>
      <c r="V43" s="489"/>
      <c r="W43" s="494"/>
      <c r="X43" s="494"/>
      <c r="Y43" s="496"/>
      <c r="Z43" s="497"/>
      <c r="AA43" s="65" t="str">
        <f>VLOOKUP(B43,ФФП!$C$7:$W$52,21,0)</f>
        <v>17-20</v>
      </c>
      <c r="AB43" s="489">
        <f>VLOOKUP(AA43,Очки!$A$2:$B$84,2,0)</f>
        <v>14.5</v>
      </c>
      <c r="AC43" s="56">
        <f>VLOOKUP(B43,ФФП!$C$7:$W$52,13,0)+1</f>
        <v>10</v>
      </c>
      <c r="AD43" s="56">
        <f>VLOOKUP(B43,ФФП!$C$7:$W$52,12,0)</f>
        <v>10</v>
      </c>
      <c r="AE43" s="489">
        <f>ROUND(10*AD43/(AC43*2),1)</f>
        <v>5</v>
      </c>
      <c r="AF43" s="299">
        <f>AB43+AE43</f>
        <v>19.5</v>
      </c>
      <c r="AG43" s="66"/>
      <c r="AH43" s="16"/>
      <c r="AI43" s="15"/>
      <c r="AJ43" s="15"/>
      <c r="AK43" s="51"/>
      <c r="AL43" s="138"/>
      <c r="AM43" s="69">
        <f t="shared" si="24"/>
        <v>19.5</v>
      </c>
    </row>
    <row r="44" spans="1:39" ht="13.5" thickBot="1">
      <c r="A44" s="17">
        <v>41</v>
      </c>
      <c r="B44" s="59" t="s">
        <v>313</v>
      </c>
      <c r="C44" s="488">
        <f>VLOOKUP(B44,'Профи-Опен'!$C$19:$V$56,20,0)</f>
        <v>25</v>
      </c>
      <c r="D44" s="489">
        <f>VLOOKUP(C44,Очки!$A$2:$B$84,2,0)</f>
        <v>8</v>
      </c>
      <c r="E44" s="490">
        <f>VLOOKUP(B44,'Профи-Опен'!$C$19:$V$56,10,0)</f>
        <v>7</v>
      </c>
      <c r="F44" s="490">
        <f>VLOOKUP(B44,'Профи-Опен'!$C$19:$V$56,19,0)</f>
        <v>5</v>
      </c>
      <c r="G44" s="489">
        <f>ROUND(10*F44/(E44*2),1)</f>
        <v>3.6</v>
      </c>
      <c r="H44" s="491">
        <f>D44+G44</f>
        <v>11.6</v>
      </c>
      <c r="I44" s="66" t="e">
        <f>VLOOKUP(B44,ФФП!#REF!,23,FALSE)</f>
        <v>#REF!</v>
      </c>
      <c r="J44" s="16" t="e">
        <f>VLOOKUP(I44,Очки!$A$2:$B$83,2,0)</f>
        <v>#REF!</v>
      </c>
      <c r="K44" s="16" t="e">
        <f>VLOOKUP($B44,ФФП!$C$7:$V$52,11,0)+VLOOKUP($B44,ФФП!#REF!,11,0)+VLOOKUP($B44,ФФП!#REF!,15,0)</f>
        <v>#REF!</v>
      </c>
      <c r="L44" s="16" t="e">
        <f>VLOOKUP($B44,ФФП!$C$7:$V$52,10,0)+VLOOKUP($B44,ФФП!#REF!,10,0)+VLOOKUP($B44,ФФП!#REF!,14,0)</f>
        <v>#REF!</v>
      </c>
      <c r="M44" s="51" t="e">
        <f t="shared" si="17"/>
        <v>#REF!</v>
      </c>
      <c r="N44" s="138" t="e">
        <f t="shared" si="25"/>
        <v>#REF!</v>
      </c>
      <c r="O44" s="492"/>
      <c r="P44" s="493"/>
      <c r="Q44" s="494"/>
      <c r="R44" s="494"/>
      <c r="S44" s="496"/>
      <c r="T44" s="495">
        <f>P44+S44</f>
        <v>0</v>
      </c>
      <c r="U44" s="492" t="str">
        <f>VLOOKUP(B44,Торпедо!$C$27:$U$56,19,0)</f>
        <v>32-35</v>
      </c>
      <c r="V44" s="489">
        <f>VLOOKUP(U44,Очки!$A$2:$B$84,2,0)</f>
        <v>0.3</v>
      </c>
      <c r="W44" s="548">
        <f>VLOOKUP($B44,Торпедо!$C$27:$U$56,10,0)</f>
        <v>5</v>
      </c>
      <c r="X44" s="494">
        <f>VLOOKUP($B44,Торпедо!$C$27:$U$56,18,0)</f>
        <v>-4</v>
      </c>
      <c r="Y44" s="489">
        <f>ROUND(10*X44/(W44*2),1)</f>
        <v>-4</v>
      </c>
      <c r="Z44" s="495">
        <f>V44+Y44</f>
        <v>-3.7</v>
      </c>
      <c r="AA44" s="65" t="str">
        <f>VLOOKUP(B44,ФФП!$C$7:$W$52,21,0)</f>
        <v>25-28</v>
      </c>
      <c r="AB44" s="489">
        <f>VLOOKUP(AA44,Очки!$A$2:$B$84,2,0)</f>
        <v>6.5</v>
      </c>
      <c r="AC44" s="56">
        <f>VLOOKUP(B44,ФФП!$C$7:$W$52,13,0)</f>
        <v>9</v>
      </c>
      <c r="AD44" s="56">
        <f>VLOOKUP(B44,ФФП!$C$7:$W$52,12,0)</f>
        <v>8</v>
      </c>
      <c r="AE44" s="489">
        <f>ROUND(10*AD44/(AC44*2),1)</f>
        <v>4.4</v>
      </c>
      <c r="AF44" s="299">
        <f>AB44+AE44</f>
        <v>10.9</v>
      </c>
      <c r="AG44" s="66" t="str">
        <f>VLOOKUP(B44,Форвард!$C$50:$Q$71,15,FALSE)</f>
        <v>13-15</v>
      </c>
      <c r="AH44" s="16">
        <f>VLOOKUP(AG44,Очки!$A$2:$B$83,2,0)</f>
        <v>19</v>
      </c>
      <c r="AI44" s="15">
        <f>VLOOKUP(B44,Форвард!$C$6:$Q$45,6,FALSE)+VLOOKUP(B44,Форвард!$C$50:$Q$71,6,FALSE)</f>
        <v>12</v>
      </c>
      <c r="AJ44" s="15">
        <f>VLOOKUP(B44,Форвард!$C$6:$Q$45,14,FALSE)+VLOOKUP(B44,Форвард!$C$50:$Q$71,14,FALSE)</f>
        <v>14</v>
      </c>
      <c r="AK44" s="51">
        <f>ROUND(((20-$AK$2+AI44)*AJ44/(AI44*3)/2),1)</f>
        <v>6.2</v>
      </c>
      <c r="AL44" s="138">
        <f>AH44+AK44</f>
        <v>25.2</v>
      </c>
      <c r="AM44" s="69">
        <f t="shared" si="24"/>
        <v>18.8</v>
      </c>
    </row>
    <row r="45" spans="1:39" ht="13.5" thickBot="1">
      <c r="A45" s="14">
        <v>42</v>
      </c>
      <c r="B45" s="60" t="s">
        <v>24</v>
      </c>
      <c r="C45" s="488"/>
      <c r="D45" s="489"/>
      <c r="E45" s="490">
        <f>VLOOKUP(B45,'Профи-Опен'!$C$7:$Q$16,6,0)</f>
        <v>3</v>
      </c>
      <c r="F45" s="490">
        <f>VLOOKUP(B45,'Профи-Опен'!$C$7:$Q$17,15,0)</f>
        <v>2</v>
      </c>
      <c r="G45" s="489">
        <f>ROUND(10*F45/(E45*2),1)</f>
        <v>3.3</v>
      </c>
      <c r="H45" s="491">
        <f>D45+G45</f>
        <v>3.3</v>
      </c>
      <c r="I45" s="66"/>
      <c r="J45" s="16"/>
      <c r="K45" s="16"/>
      <c r="L45" s="16"/>
      <c r="M45" s="51"/>
      <c r="N45" s="138">
        <f t="shared" si="25"/>
        <v>0</v>
      </c>
      <c r="O45" s="492"/>
      <c r="P45" s="493"/>
      <c r="Q45" s="494"/>
      <c r="R45" s="494"/>
      <c r="S45" s="489"/>
      <c r="T45" s="495">
        <f>P45+S45</f>
        <v>0</v>
      </c>
      <c r="U45" s="492" t="str">
        <f>VLOOKUP(B45,Торпедо!$C$27:$U$56,19,0)</f>
        <v>21-23</v>
      </c>
      <c r="V45" s="489">
        <f>VLOOKUP(U45,Очки!$A$2:$B$84,2,0)</f>
        <v>11</v>
      </c>
      <c r="W45" s="548">
        <f>VLOOKUP($B45,Торпедо!$C$6:$U$23,10,0)+VLOOKUP($B45,Торпедо!$C$27:$U$56,10,0)</f>
        <v>11</v>
      </c>
      <c r="X45" s="546">
        <f>VLOOKUP($B45,Торпедо!$C$6:$U$23,18,0)+VLOOKUP($B45,Торпедо!$C$27:$U$56,18,0)</f>
        <v>10</v>
      </c>
      <c r="Y45" s="489">
        <f>ROUND(10*X45/(W45*2),1)</f>
        <v>4.5</v>
      </c>
      <c r="Z45" s="495">
        <f>V45+Y45</f>
        <v>15.5</v>
      </c>
      <c r="AA45" s="65"/>
      <c r="AB45" s="489"/>
      <c r="AC45" s="56"/>
      <c r="AD45" s="56"/>
      <c r="AE45" s="55"/>
      <c r="AF45" s="299"/>
      <c r="AG45" s="66"/>
      <c r="AH45" s="16"/>
      <c r="AI45" s="15"/>
      <c r="AJ45" s="15"/>
      <c r="AK45" s="51"/>
      <c r="AL45" s="138"/>
      <c r="AM45" s="69">
        <f t="shared" si="24"/>
        <v>18.8</v>
      </c>
    </row>
    <row r="46" spans="1:39" ht="13.5" thickBot="1">
      <c r="A46" s="17">
        <v>43</v>
      </c>
      <c r="B46" s="59" t="s">
        <v>122</v>
      </c>
      <c r="C46" s="65"/>
      <c r="D46" s="55"/>
      <c r="E46" s="55"/>
      <c r="F46" s="55"/>
      <c r="G46" s="55"/>
      <c r="H46" s="299"/>
      <c r="I46" s="66" t="e">
        <f>VLOOKUP(B46,ФФП!#REF!,23,FALSE)</f>
        <v>#REF!</v>
      </c>
      <c r="J46" s="16" t="e">
        <f>VLOOKUP(I46,Очки!$A$2:$B$83,2,0)</f>
        <v>#REF!</v>
      </c>
      <c r="K46" s="16" t="e">
        <f>VLOOKUP($B46,ФФП!$C$7:$V$52,11,0)+VLOOKUP($B46,ФФП!#REF!,11,0)+VLOOKUP($B46,ФФП!#REF!,15,0)</f>
        <v>#REF!</v>
      </c>
      <c r="L46" s="16" t="e">
        <f>VLOOKUP($B46,ФФП!$C$7:$V$52,10,0)+VLOOKUP($B46,ФФП!#REF!,10,0)+VLOOKUP($B46,ФФП!#REF!,14,0)</f>
        <v>#REF!</v>
      </c>
      <c r="M46" s="51" t="e">
        <f>ROUND(((20-$M$2+K46)*L46/(K46*3)/2),1)</f>
        <v>#REF!</v>
      </c>
      <c r="N46" s="138" t="e">
        <f t="shared" si="25"/>
        <v>#REF!</v>
      </c>
      <c r="O46" s="492"/>
      <c r="P46" s="489"/>
      <c r="Q46" s="494"/>
      <c r="R46" s="494"/>
      <c r="S46" s="496"/>
      <c r="T46" s="497"/>
      <c r="U46" s="492"/>
      <c r="V46" s="489"/>
      <c r="W46" s="494"/>
      <c r="X46" s="494"/>
      <c r="Y46" s="496"/>
      <c r="Z46" s="497"/>
      <c r="AA46" s="65" t="str">
        <f>VLOOKUP(B46,ФФП!$C$7:$W$52,21,0)</f>
        <v>17-20</v>
      </c>
      <c r="AB46" s="489">
        <f>VLOOKUP(AA46,Очки!$A$2:$B$84,2,0)</f>
        <v>14.5</v>
      </c>
      <c r="AC46" s="56">
        <f>VLOOKUP(B46,ФФП!$C$7:$W$52,13,0)+1</f>
        <v>10</v>
      </c>
      <c r="AD46" s="56">
        <f>VLOOKUP(B46,ФФП!$C$7:$W$52,12,0)</f>
        <v>8</v>
      </c>
      <c r="AE46" s="489">
        <f>ROUND(10*AD46/(AC46*2),1)</f>
        <v>4</v>
      </c>
      <c r="AF46" s="299">
        <f>AB46+AE46</f>
        <v>18.5</v>
      </c>
      <c r="AG46" s="66"/>
      <c r="AH46" s="16"/>
      <c r="AI46" s="15"/>
      <c r="AJ46" s="15"/>
      <c r="AK46" s="51"/>
      <c r="AL46" s="138"/>
      <c r="AM46" s="69">
        <f t="shared" si="24"/>
        <v>18.5</v>
      </c>
    </row>
    <row r="47" spans="1:39" ht="13.5" thickBot="1">
      <c r="A47" s="14">
        <v>44</v>
      </c>
      <c r="B47" s="59" t="s">
        <v>125</v>
      </c>
      <c r="C47" s="65"/>
      <c r="D47" s="55"/>
      <c r="E47" s="55"/>
      <c r="F47" s="55"/>
      <c r="G47" s="55"/>
      <c r="H47" s="299"/>
      <c r="I47" s="66" t="e">
        <f>VLOOKUP(B47,ФФП!$C$7:$V$52,19,FALSE)</f>
        <v>#N/A</v>
      </c>
      <c r="J47" s="16" t="e">
        <f>VLOOKUP(I47,Очки!$A$2:$B$83,2,0)</f>
        <v>#N/A</v>
      </c>
      <c r="K47" s="16" t="e">
        <f>VLOOKUP($B47,ФФП!$C$7:$V$52,11,0)</f>
        <v>#N/A</v>
      </c>
      <c r="L47" s="16" t="e">
        <f>VLOOKUP($B47,ФФП!$C$7:$V$52,10,0)</f>
        <v>#N/A</v>
      </c>
      <c r="M47" s="51" t="e">
        <f>ROUND(((20-$M$2+K47)*L47/(K47*3)/2),1)</f>
        <v>#N/A</v>
      </c>
      <c r="N47" s="138" t="e">
        <f t="shared" si="25"/>
        <v>#N/A</v>
      </c>
      <c r="O47" s="492"/>
      <c r="P47" s="493"/>
      <c r="Q47" s="494"/>
      <c r="R47" s="494"/>
      <c r="S47" s="496"/>
      <c r="T47" s="495">
        <f aca="true" t="shared" si="26" ref="T47:T56">P47+S47</f>
        <v>0</v>
      </c>
      <c r="U47" s="492" t="str">
        <f>VLOOKUP(B47,Торпедо!$C$27:$U$56,19,0)</f>
        <v>24-27</v>
      </c>
      <c r="V47" s="489">
        <f>VLOOKUP(U47,Очки!$A$2:$B$84,2,0)</f>
        <v>7.5</v>
      </c>
      <c r="W47" s="548">
        <f>VLOOKUP($B47,Торпедо!$C$27:$U$56,10,0)</f>
        <v>5</v>
      </c>
      <c r="X47" s="494">
        <f>VLOOKUP($B47,Торпедо!$C$27:$U$56,18,0)</f>
        <v>6</v>
      </c>
      <c r="Y47" s="489">
        <f>ROUND(10*X47/(W47*2),1)</f>
        <v>6</v>
      </c>
      <c r="Z47" s="495">
        <f>V47+Y47</f>
        <v>13.5</v>
      </c>
      <c r="AA47" s="65"/>
      <c r="AB47" s="489"/>
      <c r="AC47" s="56"/>
      <c r="AD47" s="56"/>
      <c r="AE47" s="55"/>
      <c r="AF47" s="299"/>
      <c r="AG47" s="66"/>
      <c r="AH47" s="16"/>
      <c r="AI47" s="15"/>
      <c r="AJ47" s="15"/>
      <c r="AK47" s="51"/>
      <c r="AL47" s="138"/>
      <c r="AM47" s="69">
        <f t="shared" si="24"/>
        <v>13.5</v>
      </c>
    </row>
    <row r="48" spans="1:39" ht="13.5" thickBot="1">
      <c r="A48" s="17">
        <v>45</v>
      </c>
      <c r="B48" s="177" t="s">
        <v>36</v>
      </c>
      <c r="C48" s="65"/>
      <c r="D48" s="55"/>
      <c r="E48" s="55"/>
      <c r="F48" s="55"/>
      <c r="G48" s="55"/>
      <c r="H48" s="299"/>
      <c r="I48" s="66" t="e">
        <f>VLOOKUP(B48,ФФП!#REF!,23,FALSE)</f>
        <v>#REF!</v>
      </c>
      <c r="J48" s="16" t="e">
        <f>VLOOKUP(I48,Очки!$A$2:$B$83,2,0)</f>
        <v>#REF!</v>
      </c>
      <c r="K48" s="16" t="e">
        <f>VLOOKUP($B48,ФФП!$C$7:$V$52,11,0)+VLOOKUP($B48,ФФП!#REF!,11,0)+VLOOKUP($B48,ФФП!#REF!,15,0)</f>
        <v>#N/A</v>
      </c>
      <c r="L48" s="16" t="e">
        <f>VLOOKUP($B48,ФФП!$C$7:$V$52,10,0)+VLOOKUP($B48,ФФП!#REF!,10,0)+VLOOKUP($B48,ФФП!#REF!,14,0)</f>
        <v>#N/A</v>
      </c>
      <c r="M48" s="51" t="e">
        <f>ROUND(((20-$M$2+K48)*L48/(K48*3)/2),1)</f>
        <v>#N/A</v>
      </c>
      <c r="N48" s="138" t="e">
        <f t="shared" si="25"/>
        <v>#REF!</v>
      </c>
      <c r="O48" s="492"/>
      <c r="P48" s="493"/>
      <c r="Q48" s="494"/>
      <c r="R48" s="494"/>
      <c r="S48" s="496"/>
      <c r="T48" s="495">
        <f t="shared" si="26"/>
        <v>0</v>
      </c>
      <c r="U48" s="492">
        <f>VLOOKUP(B48,Торпедо!$C$58:$D$68,2,0)</f>
        <v>20</v>
      </c>
      <c r="V48" s="489">
        <f>VLOOKUP(U48,Очки!$A$2:$B$84,2,0)</f>
        <v>13</v>
      </c>
      <c r="W48" s="494"/>
      <c r="X48" s="494"/>
      <c r="Y48" s="496"/>
      <c r="Z48" s="495">
        <f>V48+Y48</f>
        <v>13</v>
      </c>
      <c r="AA48" s="65"/>
      <c r="AB48" s="489"/>
      <c r="AC48" s="56"/>
      <c r="AD48" s="56"/>
      <c r="AE48" s="55"/>
      <c r="AF48" s="299"/>
      <c r="AG48" s="66">
        <f>VLOOKUP(B48,Форвард!$C$50:$Q$71,15,FALSE)</f>
        <v>16</v>
      </c>
      <c r="AH48" s="16">
        <f>VLOOKUP(AG48,Очки!$A$2:$B$83,2,0)</f>
        <v>17</v>
      </c>
      <c r="AI48" s="15">
        <f>VLOOKUP(B48,Форвард!$C$6:$Q$45,6,FALSE)+VLOOKUP(B48,Форвард!$C$50:$Q$71,6,FALSE)</f>
        <v>12</v>
      </c>
      <c r="AJ48" s="15">
        <f>VLOOKUP(B48,Форвард!$C$6:$Q$45,14,FALSE)+VLOOKUP(B48,Форвард!$C$50:$Q$71,14,FALSE)</f>
        <v>11</v>
      </c>
      <c r="AK48" s="51">
        <f>ROUND(((20-$AK$2+AI48)*AJ48/(AI48*3)/2),1)</f>
        <v>4.9</v>
      </c>
      <c r="AL48" s="428">
        <f>AH48+AK48</f>
        <v>21.9</v>
      </c>
      <c r="AM48" s="69">
        <f t="shared" si="24"/>
        <v>13</v>
      </c>
    </row>
    <row r="49" spans="1:39" ht="13.5" thickBot="1">
      <c r="A49" s="14">
        <v>46</v>
      </c>
      <c r="B49" s="59" t="s">
        <v>236</v>
      </c>
      <c r="C49" s="65"/>
      <c r="D49" s="55"/>
      <c r="E49" s="55"/>
      <c r="F49" s="55"/>
      <c r="G49" s="55"/>
      <c r="H49" s="299"/>
      <c r="I49" s="66"/>
      <c r="J49" s="16"/>
      <c r="K49" s="16"/>
      <c r="L49" s="16"/>
      <c r="M49" s="51"/>
      <c r="N49" s="138"/>
      <c r="O49" s="492"/>
      <c r="P49" s="493"/>
      <c r="Q49" s="494"/>
      <c r="R49" s="494"/>
      <c r="S49" s="496"/>
      <c r="T49" s="495">
        <f t="shared" si="26"/>
        <v>0</v>
      </c>
      <c r="U49" s="492">
        <f>VLOOKUP(B49,Торпедо!$C$58:$D$68,2,0)</f>
        <v>20</v>
      </c>
      <c r="V49" s="489">
        <f>VLOOKUP(U49,Очки!$A$2:$B$84,2,0)</f>
        <v>13</v>
      </c>
      <c r="W49" s="494"/>
      <c r="X49" s="494"/>
      <c r="Y49" s="496"/>
      <c r="Z49" s="495">
        <f>V49+Y49</f>
        <v>13</v>
      </c>
      <c r="AA49" s="65"/>
      <c r="AB49" s="489"/>
      <c r="AC49" s="56"/>
      <c r="AD49" s="56"/>
      <c r="AE49" s="55"/>
      <c r="AF49" s="299"/>
      <c r="AG49" s="66"/>
      <c r="AH49" s="16"/>
      <c r="AI49" s="15"/>
      <c r="AJ49" s="15"/>
      <c r="AK49" s="51"/>
      <c r="AL49" s="138"/>
      <c r="AM49" s="69">
        <f t="shared" si="24"/>
        <v>13</v>
      </c>
    </row>
    <row r="50" spans="1:39" ht="13.5" thickBot="1">
      <c r="A50" s="17">
        <v>47</v>
      </c>
      <c r="B50" s="177" t="s">
        <v>310</v>
      </c>
      <c r="C50" s="65"/>
      <c r="D50" s="55"/>
      <c r="E50" s="55"/>
      <c r="F50" s="55"/>
      <c r="G50" s="55"/>
      <c r="H50" s="299"/>
      <c r="I50" s="66" t="e">
        <f>VLOOKUP(B50,ФФП!$C$7:$V$52,19,FALSE)</f>
        <v>#N/A</v>
      </c>
      <c r="J50" s="16" t="e">
        <f>VLOOKUP(I50,Очки!$A$2:$B$83,2,0)</f>
        <v>#N/A</v>
      </c>
      <c r="K50" s="16" t="e">
        <f>VLOOKUP($B50,ФФП!$C$7:$V$52,11,0)</f>
        <v>#N/A</v>
      </c>
      <c r="L50" s="16" t="e">
        <f>VLOOKUP($B50,ФФП!$C$7:$V$52,10,0)</f>
        <v>#N/A</v>
      </c>
      <c r="M50" s="51" t="e">
        <f>ROUND(((20-$M$2+K50)*L50/(K50*3)/2),1)</f>
        <v>#N/A</v>
      </c>
      <c r="N50" s="138" t="e">
        <f>J50+M50</f>
        <v>#N/A</v>
      </c>
      <c r="O50" s="492">
        <f>VLOOKUP(B50,Предвидение!$C$13:$V$50,20,0)</f>
        <v>32</v>
      </c>
      <c r="P50" s="489">
        <f>VLOOKUP(O50,Очки!$A$2:$B$84,2,0)</f>
        <v>1</v>
      </c>
      <c r="Q50" s="494">
        <f>VLOOKUP(B50,Предвидение!$C$13:$V$50,10,0)</f>
        <v>7</v>
      </c>
      <c r="R50" s="494">
        <f>VLOOKUP(B50,Предвидение!$C$13:$V$50,19,0)</f>
        <v>5</v>
      </c>
      <c r="S50" s="489">
        <f>ROUND(10*R50/(Q50*2),1)</f>
        <v>3.6</v>
      </c>
      <c r="T50" s="495">
        <f t="shared" si="26"/>
        <v>4.6</v>
      </c>
      <c r="U50" s="492" t="str">
        <f>VLOOKUP(B50,Торпедо!$C$27:$U$56,19,0)</f>
        <v>32-35</v>
      </c>
      <c r="V50" s="489">
        <f>VLOOKUP(U50,Очки!$A$2:$B$84,2,0)</f>
        <v>0.3</v>
      </c>
      <c r="W50" s="548">
        <f>VLOOKUP($B50,Торпедо!$C$6:$U$23,10,0)+VLOOKUP($B50,Торпедо!$C$27:$U$56,10,0)</f>
        <v>11</v>
      </c>
      <c r="X50" s="546">
        <f>VLOOKUP($B50,Торпедо!$C$6:$U$23,18,0)+VLOOKUP($B50,Торпедо!$C$27:$U$56,18,0)</f>
        <v>8</v>
      </c>
      <c r="Y50" s="489">
        <f>ROUND(10*X50/(W50*2),1)</f>
        <v>3.6</v>
      </c>
      <c r="Z50" s="495">
        <f>V50+Y50</f>
        <v>3.9</v>
      </c>
      <c r="AA50" s="65"/>
      <c r="AB50" s="489"/>
      <c r="AC50" s="56"/>
      <c r="AD50" s="56"/>
      <c r="AE50" s="55"/>
      <c r="AF50" s="299"/>
      <c r="AG50" s="66"/>
      <c r="AH50" s="16"/>
      <c r="AI50" s="15"/>
      <c r="AJ50" s="15"/>
      <c r="AK50" s="51"/>
      <c r="AL50" s="138"/>
      <c r="AM50" s="69">
        <f t="shared" si="24"/>
        <v>8.5</v>
      </c>
    </row>
    <row r="51" spans="1:39" ht="13.5" thickBot="1">
      <c r="A51" s="14">
        <v>48</v>
      </c>
      <c r="B51" s="59" t="s">
        <v>317</v>
      </c>
      <c r="C51" s="65"/>
      <c r="D51" s="55"/>
      <c r="E51" s="55"/>
      <c r="F51" s="55"/>
      <c r="G51" s="55"/>
      <c r="H51" s="299"/>
      <c r="I51" s="66" t="e">
        <f>VLOOKUP(B51,ФФП!$C$7:$V$52,19,FALSE)</f>
        <v>#N/A</v>
      </c>
      <c r="J51" s="352" t="e">
        <f>VLOOKUP(I51,Очки!$A$2:$B$83,2,0)</f>
        <v>#N/A</v>
      </c>
      <c r="K51" s="352" t="e">
        <f>VLOOKUP($B51,ФФП!$C$7:$V$52,11,0)</f>
        <v>#N/A</v>
      </c>
      <c r="L51" s="352" t="e">
        <f>VLOOKUP($B51,ФФП!$C$7:$V$52,10,0)</f>
        <v>#N/A</v>
      </c>
      <c r="M51" s="353" t="e">
        <f>ROUND(((20-$M$2+K51)*L51/(K51*3)/2),1)</f>
        <v>#N/A</v>
      </c>
      <c r="N51" s="138" t="e">
        <f>J51+M51</f>
        <v>#N/A</v>
      </c>
      <c r="O51" s="492"/>
      <c r="P51" s="493"/>
      <c r="Q51" s="494"/>
      <c r="R51" s="494"/>
      <c r="S51" s="496"/>
      <c r="T51" s="495">
        <f t="shared" si="26"/>
        <v>0</v>
      </c>
      <c r="U51" s="492" t="str">
        <f>VLOOKUP(B51,Торпедо!$C$27:$U$56,19,0)</f>
        <v>28-31</v>
      </c>
      <c r="V51" s="489">
        <f>VLOOKUP(U51,Очки!$A$2:$B$84,2,0)</f>
        <v>3.5</v>
      </c>
      <c r="W51" s="548">
        <f>VLOOKUP($B51,Торпедо!$C$27:$U$56,10,0)</f>
        <v>5</v>
      </c>
      <c r="X51" s="494">
        <f>VLOOKUP($B51,Торпедо!$C$27:$U$56,18,0)</f>
        <v>4</v>
      </c>
      <c r="Y51" s="489">
        <f>ROUND(10*X51/(W51*2),1)</f>
        <v>4</v>
      </c>
      <c r="Z51" s="495">
        <f>V51+Y51</f>
        <v>7.5</v>
      </c>
      <c r="AA51" s="65"/>
      <c r="AB51" s="489"/>
      <c r="AC51" s="56"/>
      <c r="AD51" s="56"/>
      <c r="AE51" s="55"/>
      <c r="AF51" s="299"/>
      <c r="AG51" s="66"/>
      <c r="AH51" s="16"/>
      <c r="AI51" s="15"/>
      <c r="AJ51" s="15"/>
      <c r="AK51" s="51"/>
      <c r="AL51" s="138"/>
      <c r="AM51" s="69">
        <f t="shared" si="24"/>
        <v>7.5</v>
      </c>
    </row>
    <row r="52" spans="1:39" ht="13.5" thickBot="1">
      <c r="A52" s="17">
        <v>49</v>
      </c>
      <c r="B52" s="59" t="s">
        <v>924</v>
      </c>
      <c r="C52" s="65"/>
      <c r="D52" s="55"/>
      <c r="E52" s="55"/>
      <c r="F52" s="55"/>
      <c r="G52" s="55"/>
      <c r="H52" s="299"/>
      <c r="I52" s="66" t="e">
        <f>VLOOKUP(B52,ФФП!$C$7:$V$52,19,FALSE)</f>
        <v>#N/A</v>
      </c>
      <c r="J52" s="67" t="e">
        <f>VLOOKUP(I52,Очки!$A$2:$B$83,2,0)</f>
        <v>#N/A</v>
      </c>
      <c r="K52" s="67" t="e">
        <f>VLOOKUP($B52,ФФП!$C$7:$V$52,11,0)</f>
        <v>#N/A</v>
      </c>
      <c r="L52" s="67" t="e">
        <f>VLOOKUP($B52,ФФП!$C$7:$V$52,10,0)</f>
        <v>#N/A</v>
      </c>
      <c r="M52" s="68" t="e">
        <f>ROUND(((20-$M$2+K52)*L52/(K52*3)/2),1)</f>
        <v>#N/A</v>
      </c>
      <c r="N52" s="139"/>
      <c r="O52" s="492">
        <f>VLOOKUP(B52,Предвидение!$C$13:$V$50,20,0)</f>
        <v>32</v>
      </c>
      <c r="P52" s="489">
        <f>VLOOKUP(O52,Очки!$A$2:$B$84,2,0)</f>
        <v>1</v>
      </c>
      <c r="Q52" s="494">
        <f>VLOOKUP(B52,Предвидение!$C$13:$V$50,10,0)</f>
        <v>7</v>
      </c>
      <c r="R52" s="494">
        <f>VLOOKUP(B52,Предвидение!$C$13:$V$50,19,0)</f>
        <v>7</v>
      </c>
      <c r="S52" s="489">
        <f>ROUND(10*R52/(Q52*2),1)</f>
        <v>5</v>
      </c>
      <c r="T52" s="495">
        <f t="shared" si="26"/>
        <v>6</v>
      </c>
      <c r="U52" s="492"/>
      <c r="V52" s="493"/>
      <c r="W52" s="494"/>
      <c r="X52" s="494"/>
      <c r="Y52" s="496"/>
      <c r="Z52" s="495"/>
      <c r="AA52" s="65"/>
      <c r="AB52" s="489"/>
      <c r="AC52" s="56"/>
      <c r="AD52" s="56"/>
      <c r="AE52" s="55"/>
      <c r="AF52" s="299"/>
      <c r="AG52" s="66"/>
      <c r="AH52" s="16"/>
      <c r="AI52" s="15"/>
      <c r="AJ52" s="15"/>
      <c r="AK52" s="51"/>
      <c r="AL52" s="138"/>
      <c r="AM52" s="69">
        <f t="shared" si="24"/>
        <v>6</v>
      </c>
    </row>
    <row r="53" spans="1:39" ht="13.5" thickBot="1">
      <c r="A53" s="17">
        <v>50</v>
      </c>
      <c r="B53" s="59" t="s">
        <v>649</v>
      </c>
      <c r="C53" s="65"/>
      <c r="D53" s="55"/>
      <c r="E53" s="56">
        <f>VLOOKUP(B53,'Профи-Опен'!$C$7:$Q$16,6,0)</f>
        <v>2</v>
      </c>
      <c r="F53" s="56">
        <f>VLOOKUP(B53,'Профи-Опен'!$C$7:$Q$17,15,0)</f>
        <v>0</v>
      </c>
      <c r="G53" s="55">
        <f>ROUND(10*F53/(E53*2),1)</f>
        <v>0</v>
      </c>
      <c r="H53" s="299">
        <f>D53+G53</f>
        <v>0</v>
      </c>
      <c r="I53" s="66" t="e">
        <f>VLOOKUP(B53,ФФП!$C$7:$V$52,19,FALSE)</f>
        <v>#N/A</v>
      </c>
      <c r="J53" s="67" t="e">
        <f>VLOOKUP(I53,Очки!$A$2:$B$83,2,0)</f>
        <v>#N/A</v>
      </c>
      <c r="K53" s="67" t="e">
        <f>VLOOKUP($B53,ФФП!$C$7:$V$52,11,0)</f>
        <v>#N/A</v>
      </c>
      <c r="L53" s="67" t="e">
        <f>VLOOKUP($B53,ФФП!$C$7:$V$52,10,0)</f>
        <v>#N/A</v>
      </c>
      <c r="M53" s="68" t="e">
        <f>ROUND(((20-$M$2+K53)*L53/(K53*3)/2),1)</f>
        <v>#N/A</v>
      </c>
      <c r="N53" s="139"/>
      <c r="O53" s="492"/>
      <c r="P53" s="493"/>
      <c r="Q53" s="494">
        <f>VLOOKUP($B53,Предвидение!$C$7:$R$10,6,0)</f>
        <v>3</v>
      </c>
      <c r="R53" s="494">
        <f>VLOOKUP($B53,Предвидение!$C$7:$R$10,15,0)</f>
        <v>2</v>
      </c>
      <c r="S53" s="489">
        <f>ROUND(10*R53/(Q53*2),1)</f>
        <v>3.3</v>
      </c>
      <c r="T53" s="495">
        <f t="shared" si="26"/>
        <v>3.3</v>
      </c>
      <c r="U53" s="492" t="str">
        <f>VLOOKUP(B53,Торпедо!$C$27:$U$56,19,0)</f>
        <v>32-35</v>
      </c>
      <c r="V53" s="489">
        <f>VLOOKUP(U53,Очки!$A$2:$B$84,2,0)</f>
        <v>0.3</v>
      </c>
      <c r="W53" s="548">
        <f>VLOOKUP($B53,Торпедо!$C$6:$U$23,10,0)+VLOOKUP($B53,Торпедо!$C$27:$U$56,10,0)</f>
        <v>12</v>
      </c>
      <c r="X53" s="546">
        <f>VLOOKUP($B53,Торпедо!$C$6:$U$23,18,0)+VLOOKUP($B53,Торпедо!$C$27:$U$56,18,0)</f>
        <v>4</v>
      </c>
      <c r="Y53" s="489">
        <f>ROUND(10*X53/(W53*2),1)</f>
        <v>1.7</v>
      </c>
      <c r="Z53" s="495">
        <f>V53+Y53</f>
        <v>2</v>
      </c>
      <c r="AA53" s="65"/>
      <c r="AB53" s="489"/>
      <c r="AC53" s="56"/>
      <c r="AD53" s="56"/>
      <c r="AE53" s="55"/>
      <c r="AF53" s="299"/>
      <c r="AG53" s="66"/>
      <c r="AH53" s="16"/>
      <c r="AI53" s="15"/>
      <c r="AJ53" s="15"/>
      <c r="AK53" s="51"/>
      <c r="AL53" s="138"/>
      <c r="AM53" s="69">
        <f t="shared" si="24"/>
        <v>5.3</v>
      </c>
    </row>
    <row r="54" spans="1:39" ht="13.5" thickBot="1">
      <c r="A54" s="17">
        <v>51</v>
      </c>
      <c r="B54" s="59" t="s">
        <v>923</v>
      </c>
      <c r="C54" s="65"/>
      <c r="D54" s="55"/>
      <c r="E54" s="55"/>
      <c r="F54" s="55"/>
      <c r="G54" s="55"/>
      <c r="H54" s="299"/>
      <c r="I54" s="66" t="e">
        <f>VLOOKUP(B54,ФФП!#REF!,19,FALSE)</f>
        <v>#REF!</v>
      </c>
      <c r="J54" s="67" t="e">
        <f>VLOOKUP(I54,Очки!$A$2:$B$83,2,0)</f>
        <v>#REF!</v>
      </c>
      <c r="K54" s="67" t="e">
        <f>VLOOKUP($B54,ФФП!$C$7:$V$52,11,0)+VLOOKUP($B54,ФФП!#REF!,11,0)</f>
        <v>#N/A</v>
      </c>
      <c r="L54" s="67" t="e">
        <f>VLOOKUP($B54,ФФП!$C$7:$V$52,10,0)+VLOOKUP($B54,ФФП!#REF!,10,0)</f>
        <v>#N/A</v>
      </c>
      <c r="M54" s="68" t="e">
        <f>ROUND(((20-$M$2+K54)*L54/(K54*3)/2),1)</f>
        <v>#N/A</v>
      </c>
      <c r="N54" s="139" t="e">
        <f>J54+M54</f>
        <v>#REF!</v>
      </c>
      <c r="O54" s="492">
        <f>VLOOKUP(B54,Предвидение!$C$13:$V$50,20,0)</f>
        <v>32</v>
      </c>
      <c r="P54" s="489">
        <f>VLOOKUP(O54,Очки!$A$2:$B$84,2,0)</f>
        <v>1</v>
      </c>
      <c r="Q54" s="494">
        <f>VLOOKUP(B54,Предвидение!$C$13:$V$50,10,0)</f>
        <v>7</v>
      </c>
      <c r="R54" s="494">
        <f>VLOOKUP(B54,Предвидение!$C$13:$V$50,19,0)</f>
        <v>3</v>
      </c>
      <c r="S54" s="489">
        <f>ROUND(10*R54/(Q54*2),1)</f>
        <v>2.1</v>
      </c>
      <c r="T54" s="495">
        <f t="shared" si="26"/>
        <v>3.1</v>
      </c>
      <c r="U54" s="492"/>
      <c r="V54" s="489"/>
      <c r="W54" s="494"/>
      <c r="X54" s="490"/>
      <c r="Y54" s="489"/>
      <c r="Z54" s="497"/>
      <c r="AA54" s="65"/>
      <c r="AB54" s="489"/>
      <c r="AC54" s="56"/>
      <c r="AD54" s="56"/>
      <c r="AE54" s="55"/>
      <c r="AF54" s="299"/>
      <c r="AG54" s="66"/>
      <c r="AH54" s="16"/>
      <c r="AI54" s="15"/>
      <c r="AJ54" s="15"/>
      <c r="AK54" s="51"/>
      <c r="AL54" s="138"/>
      <c r="AM54" s="69">
        <f t="shared" si="24"/>
        <v>3.1</v>
      </c>
    </row>
    <row r="55" spans="1:39" ht="13.5" thickBot="1">
      <c r="A55" s="17">
        <v>52</v>
      </c>
      <c r="B55" s="59" t="s">
        <v>411</v>
      </c>
      <c r="C55" s="65"/>
      <c r="D55" s="55"/>
      <c r="E55" s="55"/>
      <c r="F55" s="55"/>
      <c r="G55" s="55"/>
      <c r="H55" s="299"/>
      <c r="I55" s="66"/>
      <c r="J55" s="67"/>
      <c r="K55" s="67"/>
      <c r="L55" s="67"/>
      <c r="M55" s="68"/>
      <c r="N55" s="139"/>
      <c r="O55" s="492"/>
      <c r="P55" s="493"/>
      <c r="Q55" s="494"/>
      <c r="R55" s="494"/>
      <c r="S55" s="496"/>
      <c r="T55" s="495">
        <f t="shared" si="26"/>
        <v>0</v>
      </c>
      <c r="U55" s="492"/>
      <c r="V55" s="493"/>
      <c r="W55" s="494"/>
      <c r="X55" s="494"/>
      <c r="Y55" s="496"/>
      <c r="Z55" s="495">
        <f>V55+Y55</f>
        <v>0</v>
      </c>
      <c r="AA55" s="65"/>
      <c r="AB55" s="489"/>
      <c r="AC55" s="56"/>
      <c r="AD55" s="56"/>
      <c r="AE55" s="55"/>
      <c r="AF55" s="299"/>
      <c r="AG55" s="66" t="str">
        <f>VLOOKUP(B55,Форвард!$C$6:$Q$45,15,FALSE)</f>
        <v>17-21</v>
      </c>
      <c r="AH55" s="16">
        <f>VLOOKUP(AG55,Очки!$A$2:$B$83,2,0)</f>
        <v>14</v>
      </c>
      <c r="AI55" s="15">
        <f>VLOOKUP(B55,Форвард!$C$6:$Q$45,6,FALSE)</f>
        <v>6</v>
      </c>
      <c r="AJ55" s="15">
        <f>VLOOKUP(B55,Форвард!$C$6:$Q$45,14,FALSE)</f>
        <v>5</v>
      </c>
      <c r="AK55" s="51">
        <f>ROUND(((20-$AK$2+AI55)*AJ55/(AI55*3)/2),1)</f>
        <v>3.6</v>
      </c>
      <c r="AL55" s="138">
        <f>AH55+AK55</f>
        <v>17.6</v>
      </c>
      <c r="AM55" s="69">
        <f t="shared" si="24"/>
        <v>0</v>
      </c>
    </row>
    <row r="56" spans="1:39" ht="13.5" thickBot="1">
      <c r="A56" s="17">
        <v>53</v>
      </c>
      <c r="B56" s="59" t="s">
        <v>237</v>
      </c>
      <c r="C56" s="65"/>
      <c r="D56" s="55"/>
      <c r="E56" s="55"/>
      <c r="F56" s="55"/>
      <c r="G56" s="55"/>
      <c r="H56" s="299"/>
      <c r="I56" s="66" t="e">
        <f>VLOOKUP(B56,ФФП!$C$7:$V$52,19,FALSE)</f>
        <v>#N/A</v>
      </c>
      <c r="J56" s="67" t="e">
        <f>VLOOKUP(I56,Очки!$A$2:$B$83,2,0)</f>
        <v>#N/A</v>
      </c>
      <c r="K56" s="67" t="e">
        <f>VLOOKUP($B56,ФФП!$C$7:$V$52,11,0)</f>
        <v>#N/A</v>
      </c>
      <c r="L56" s="67" t="e">
        <f>VLOOKUP($B56,ФФП!$C$7:$V$52,10,0)</f>
        <v>#N/A</v>
      </c>
      <c r="M56" s="68" t="e">
        <f>ROUND(((20-$M$2+K56)*L56/(K56*3)/2),1)</f>
        <v>#N/A</v>
      </c>
      <c r="N56" s="139" t="e">
        <f>J56+M56</f>
        <v>#N/A</v>
      </c>
      <c r="O56" s="492"/>
      <c r="P56" s="493"/>
      <c r="Q56" s="494"/>
      <c r="R56" s="494"/>
      <c r="S56" s="496"/>
      <c r="T56" s="495">
        <f t="shared" si="26"/>
        <v>0</v>
      </c>
      <c r="U56" s="492"/>
      <c r="V56" s="493"/>
      <c r="W56" s="494"/>
      <c r="X56" s="494"/>
      <c r="Y56" s="496"/>
      <c r="Z56" s="495">
        <f>V56+Y56</f>
        <v>0</v>
      </c>
      <c r="AA56" s="65"/>
      <c r="AB56" s="489"/>
      <c r="AC56" s="56"/>
      <c r="AD56" s="56"/>
      <c r="AE56" s="55"/>
      <c r="AF56" s="299"/>
      <c r="AG56" s="66"/>
      <c r="AH56" s="16"/>
      <c r="AI56" s="15"/>
      <c r="AJ56" s="15"/>
      <c r="AK56" s="51"/>
      <c r="AL56" s="138"/>
      <c r="AM56" s="69">
        <f t="shared" si="24"/>
        <v>0</v>
      </c>
    </row>
    <row r="58" spans="1:2" ht="12.75">
      <c r="A58" s="162"/>
      <c r="B58" s="8" t="s">
        <v>264</v>
      </c>
    </row>
  </sheetData>
  <sheetProtection/>
  <autoFilter ref="A3:AS56"/>
  <mergeCells count="10">
    <mergeCell ref="A1:AM1"/>
    <mergeCell ref="A2:A3"/>
    <mergeCell ref="B2:B3"/>
    <mergeCell ref="AM2:AM3"/>
    <mergeCell ref="C2:F2"/>
    <mergeCell ref="I2:L2"/>
    <mergeCell ref="U2:X2"/>
    <mergeCell ref="AG2:AJ2"/>
    <mergeCell ref="O2:R2"/>
    <mergeCell ref="AA2:A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5"/>
  <sheetViews>
    <sheetView zoomScalePageLayoutView="0" workbookViewId="0" topLeftCell="A52">
      <selection activeCell="L67" sqref="L67"/>
    </sheetView>
  </sheetViews>
  <sheetFormatPr defaultColWidth="9.140625" defaultRowHeight="15"/>
  <cols>
    <col min="2" max="2" width="6.140625" style="0" customWidth="1"/>
    <col min="3" max="3" width="29.140625" style="0" customWidth="1"/>
    <col min="5" max="5" width="10.28125" style="0" customWidth="1"/>
    <col min="6" max="7" width="9.140625" style="0" customWidth="1"/>
    <col min="28" max="28" width="9.140625" style="461" customWidth="1"/>
  </cols>
  <sheetData>
    <row r="1" spans="3:29" ht="15" customHeight="1">
      <c r="C1" s="3" t="s">
        <v>318</v>
      </c>
      <c r="AC1" s="461"/>
    </row>
    <row r="2" spans="3:9" ht="15" customHeight="1">
      <c r="C2" s="2" t="s">
        <v>53</v>
      </c>
      <c r="D2" s="1" t="s">
        <v>54</v>
      </c>
      <c r="E2" s="602">
        <v>41531</v>
      </c>
      <c r="F2" s="603"/>
      <c r="G2" s="1" t="s">
        <v>55</v>
      </c>
      <c r="H2" s="602">
        <v>41531</v>
      </c>
      <c r="I2" s="603"/>
    </row>
    <row r="3" spans="3:16" ht="15.75">
      <c r="C3" s="5" t="s">
        <v>56</v>
      </c>
      <c r="D3" s="7" t="s">
        <v>57</v>
      </c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58</v>
      </c>
      <c r="P3" s="7">
        <v>13</v>
      </c>
    </row>
    <row r="4" spans="3:28" s="448" customFormat="1" ht="15.75">
      <c r="C4" s="5"/>
      <c r="D4" s="7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7"/>
      <c r="AB4" s="461"/>
    </row>
    <row r="5" spans="3:28" s="448" customFormat="1" ht="19.5" thickBot="1">
      <c r="C5" s="158" t="s">
        <v>410</v>
      </c>
      <c r="J5" s="4"/>
      <c r="L5" s="159"/>
      <c r="Q5" s="159"/>
      <c r="R5" s="159"/>
      <c r="AB5" s="461"/>
    </row>
    <row r="6" spans="2:28" s="448" customFormat="1" ht="15.75" thickBot="1">
      <c r="B6" s="71" t="s">
        <v>0</v>
      </c>
      <c r="C6" s="73"/>
      <c r="D6" s="73">
        <v>1</v>
      </c>
      <c r="E6" s="73">
        <v>2</v>
      </c>
      <c r="F6" s="73"/>
      <c r="G6" s="73"/>
      <c r="H6" s="153" t="s">
        <v>2</v>
      </c>
      <c r="I6" s="73" t="s">
        <v>3</v>
      </c>
      <c r="J6" s="73" t="s">
        <v>4</v>
      </c>
      <c r="K6" s="73" t="s">
        <v>5</v>
      </c>
      <c r="L6" s="161" t="s">
        <v>251</v>
      </c>
      <c r="M6" s="73" t="s">
        <v>8</v>
      </c>
      <c r="N6" s="73" t="s">
        <v>258</v>
      </c>
      <c r="O6" s="73" t="s">
        <v>252</v>
      </c>
      <c r="P6" s="72" t="s">
        <v>9</v>
      </c>
      <c r="Q6" s="160" t="s">
        <v>652</v>
      </c>
      <c r="R6" s="160" t="s">
        <v>253</v>
      </c>
      <c r="AB6" s="461"/>
    </row>
    <row r="7" spans="2:28" s="448" customFormat="1" ht="15">
      <c r="B7" s="171">
        <v>1</v>
      </c>
      <c r="C7" s="452" t="s">
        <v>33</v>
      </c>
      <c r="D7" s="154"/>
      <c r="E7" s="164" t="s">
        <v>650</v>
      </c>
      <c r="F7" s="164"/>
      <c r="G7" s="164"/>
      <c r="H7" s="293">
        <v>2</v>
      </c>
      <c r="I7" s="294">
        <v>2</v>
      </c>
      <c r="J7" s="294"/>
      <c r="K7" s="294"/>
      <c r="L7" s="164" t="s">
        <v>651</v>
      </c>
      <c r="M7" s="164" t="s">
        <v>640</v>
      </c>
      <c r="N7" s="294"/>
      <c r="O7" s="295">
        <f>76+29</f>
        <v>105</v>
      </c>
      <c r="P7" s="296">
        <f aca="true" t="shared" si="0" ref="P7:P16">I7*3+J7</f>
        <v>6</v>
      </c>
      <c r="Q7" s="449">
        <f aca="true" t="shared" si="1" ref="Q7:Q16">I7*2+J7</f>
        <v>4</v>
      </c>
      <c r="R7" s="359"/>
      <c r="AB7" s="461"/>
    </row>
    <row r="8" spans="2:28" s="448" customFormat="1" ht="15.75" thickBot="1">
      <c r="B8" s="167">
        <v>1</v>
      </c>
      <c r="C8" s="168" t="s">
        <v>649</v>
      </c>
      <c r="D8" s="156" t="s">
        <v>655</v>
      </c>
      <c r="E8" s="151"/>
      <c r="F8" s="156"/>
      <c r="G8" s="156"/>
      <c r="H8" s="152">
        <v>2</v>
      </c>
      <c r="I8" s="297"/>
      <c r="J8" s="297"/>
      <c r="K8" s="297">
        <v>2</v>
      </c>
      <c r="L8" s="156" t="s">
        <v>653</v>
      </c>
      <c r="M8" s="156" t="s">
        <v>431</v>
      </c>
      <c r="N8" s="297"/>
      <c r="O8" s="298">
        <v>63</v>
      </c>
      <c r="P8" s="157">
        <f t="shared" si="0"/>
        <v>0</v>
      </c>
      <c r="Q8" s="450">
        <f t="shared" si="1"/>
        <v>0</v>
      </c>
      <c r="R8" s="360"/>
      <c r="AB8" s="461"/>
    </row>
    <row r="9" spans="2:28" s="448" customFormat="1" ht="15">
      <c r="B9" s="171">
        <v>2</v>
      </c>
      <c r="C9" s="452" t="s">
        <v>323</v>
      </c>
      <c r="D9" s="154"/>
      <c r="E9" s="164" t="s">
        <v>654</v>
      </c>
      <c r="F9" s="164"/>
      <c r="G9" s="164"/>
      <c r="H9" s="293">
        <v>2</v>
      </c>
      <c r="I9" s="294">
        <v>2</v>
      </c>
      <c r="J9" s="294"/>
      <c r="K9" s="294"/>
      <c r="L9" s="164" t="s">
        <v>657</v>
      </c>
      <c r="M9" s="164" t="s">
        <v>419</v>
      </c>
      <c r="N9" s="294"/>
      <c r="O9" s="295">
        <f>61+16+27</f>
        <v>104</v>
      </c>
      <c r="P9" s="296">
        <f t="shared" si="0"/>
        <v>6</v>
      </c>
      <c r="Q9" s="449">
        <f t="shared" si="1"/>
        <v>4</v>
      </c>
      <c r="R9" s="376"/>
      <c r="AB9" s="461"/>
    </row>
    <row r="10" spans="2:28" s="448" customFormat="1" ht="15.75" thickBot="1">
      <c r="B10" s="167">
        <v>2</v>
      </c>
      <c r="C10" s="168" t="s">
        <v>312</v>
      </c>
      <c r="D10" s="156" t="s">
        <v>656</v>
      </c>
      <c r="E10" s="151"/>
      <c r="F10" s="156"/>
      <c r="G10" s="156"/>
      <c r="H10" s="152">
        <v>2</v>
      </c>
      <c r="I10" s="297"/>
      <c r="J10" s="297"/>
      <c r="K10" s="297">
        <v>2</v>
      </c>
      <c r="L10" s="156" t="s">
        <v>658</v>
      </c>
      <c r="M10" s="156" t="s">
        <v>262</v>
      </c>
      <c r="N10" s="297"/>
      <c r="O10" s="298">
        <v>54</v>
      </c>
      <c r="P10" s="157">
        <f t="shared" si="0"/>
        <v>0</v>
      </c>
      <c r="Q10" s="450">
        <f t="shared" si="1"/>
        <v>0</v>
      </c>
      <c r="R10" s="360"/>
      <c r="AB10" s="461"/>
    </row>
    <row r="11" spans="2:28" s="448" customFormat="1" ht="15">
      <c r="B11" s="171">
        <v>3</v>
      </c>
      <c r="C11" s="452" t="s">
        <v>328</v>
      </c>
      <c r="D11" s="154"/>
      <c r="E11" s="164" t="s">
        <v>486</v>
      </c>
      <c r="F11" s="164"/>
      <c r="G11" s="164"/>
      <c r="H11" s="293">
        <v>2</v>
      </c>
      <c r="I11" s="294">
        <v>2</v>
      </c>
      <c r="J11" s="294"/>
      <c r="K11" s="294"/>
      <c r="L11" s="164" t="s">
        <v>659</v>
      </c>
      <c r="M11" s="164" t="s">
        <v>639</v>
      </c>
      <c r="N11" s="294"/>
      <c r="O11" s="295">
        <f>74+29+15</f>
        <v>118</v>
      </c>
      <c r="P11" s="296">
        <f t="shared" si="0"/>
        <v>6</v>
      </c>
      <c r="Q11" s="449">
        <f t="shared" si="1"/>
        <v>4</v>
      </c>
      <c r="R11" s="359"/>
      <c r="AB11" s="461"/>
    </row>
    <row r="12" spans="2:28" s="448" customFormat="1" ht="15.75" thickBot="1">
      <c r="B12" s="167">
        <v>3</v>
      </c>
      <c r="C12" s="168" t="s">
        <v>673</v>
      </c>
      <c r="D12" s="156" t="s">
        <v>485</v>
      </c>
      <c r="E12" s="151"/>
      <c r="F12" s="156"/>
      <c r="G12" s="156"/>
      <c r="H12" s="152">
        <v>2</v>
      </c>
      <c r="I12" s="297"/>
      <c r="J12" s="297"/>
      <c r="K12" s="297">
        <v>2</v>
      </c>
      <c r="L12" s="156" t="s">
        <v>660</v>
      </c>
      <c r="M12" s="156" t="s">
        <v>641</v>
      </c>
      <c r="N12" s="297"/>
      <c r="O12" s="298">
        <f>58+13-17</f>
        <v>54</v>
      </c>
      <c r="P12" s="157">
        <f t="shared" si="0"/>
        <v>0</v>
      </c>
      <c r="Q12" s="450">
        <f t="shared" si="1"/>
        <v>0</v>
      </c>
      <c r="R12" s="360"/>
      <c r="AB12" s="461"/>
    </row>
    <row r="13" spans="2:28" s="448" customFormat="1" ht="15">
      <c r="B13" s="171">
        <v>4</v>
      </c>
      <c r="C13" s="452" t="s">
        <v>322</v>
      </c>
      <c r="D13" s="154"/>
      <c r="E13" s="453" t="s">
        <v>667</v>
      </c>
      <c r="F13" s="164"/>
      <c r="G13" s="164"/>
      <c r="H13" s="293">
        <v>3</v>
      </c>
      <c r="I13" s="294">
        <v>2</v>
      </c>
      <c r="J13" s="294"/>
      <c r="K13" s="294">
        <v>1</v>
      </c>
      <c r="L13" s="164" t="s">
        <v>669</v>
      </c>
      <c r="M13" s="164"/>
      <c r="N13" s="294"/>
      <c r="O13" s="295">
        <v>144</v>
      </c>
      <c r="P13" s="296">
        <f t="shared" si="0"/>
        <v>6</v>
      </c>
      <c r="Q13" s="449">
        <f t="shared" si="1"/>
        <v>4</v>
      </c>
      <c r="R13" s="376"/>
      <c r="AB13" s="461"/>
    </row>
    <row r="14" spans="2:28" s="448" customFormat="1" ht="15.75" thickBot="1">
      <c r="B14" s="167">
        <v>4</v>
      </c>
      <c r="C14" s="168" t="s">
        <v>24</v>
      </c>
      <c r="D14" s="454" t="s">
        <v>668</v>
      </c>
      <c r="E14" s="151"/>
      <c r="F14" s="156"/>
      <c r="G14" s="156"/>
      <c r="H14" s="152">
        <v>3</v>
      </c>
      <c r="I14" s="297">
        <v>1</v>
      </c>
      <c r="J14" s="297"/>
      <c r="K14" s="297">
        <v>2</v>
      </c>
      <c r="L14" s="156" t="s">
        <v>669</v>
      </c>
      <c r="M14" s="156"/>
      <c r="N14" s="297"/>
      <c r="O14" s="298">
        <v>133</v>
      </c>
      <c r="P14" s="157">
        <f t="shared" si="0"/>
        <v>3</v>
      </c>
      <c r="Q14" s="450">
        <f t="shared" si="1"/>
        <v>2</v>
      </c>
      <c r="R14" s="360"/>
      <c r="AB14" s="461"/>
    </row>
    <row r="15" spans="2:28" s="448" customFormat="1" ht="15">
      <c r="B15" s="171">
        <v>5</v>
      </c>
      <c r="C15" s="452" t="s">
        <v>13</v>
      </c>
      <c r="D15" s="154"/>
      <c r="E15" s="164" t="s">
        <v>661</v>
      </c>
      <c r="F15" s="164"/>
      <c r="G15" s="164"/>
      <c r="H15" s="293">
        <v>2</v>
      </c>
      <c r="I15" s="294">
        <v>2</v>
      </c>
      <c r="J15" s="294"/>
      <c r="K15" s="294"/>
      <c r="L15" s="164" t="s">
        <v>662</v>
      </c>
      <c r="M15" s="164" t="s">
        <v>442</v>
      </c>
      <c r="N15" s="294"/>
      <c r="O15" s="295">
        <f>55+14+32</f>
        <v>101</v>
      </c>
      <c r="P15" s="296">
        <f t="shared" si="0"/>
        <v>6</v>
      </c>
      <c r="Q15" s="449">
        <f t="shared" si="1"/>
        <v>4</v>
      </c>
      <c r="R15" s="376"/>
      <c r="AB15" s="461"/>
    </row>
    <row r="16" spans="2:28" s="448" customFormat="1" ht="15.75" thickBot="1">
      <c r="B16" s="167">
        <v>5</v>
      </c>
      <c r="C16" s="451" t="s">
        <v>309</v>
      </c>
      <c r="D16" s="156" t="s">
        <v>664</v>
      </c>
      <c r="E16" s="151"/>
      <c r="F16" s="156"/>
      <c r="G16" s="156"/>
      <c r="H16" s="152">
        <v>2</v>
      </c>
      <c r="I16" s="297"/>
      <c r="J16" s="297"/>
      <c r="K16" s="297">
        <v>2</v>
      </c>
      <c r="L16" s="156" t="s">
        <v>663</v>
      </c>
      <c r="M16" s="156" t="s">
        <v>568</v>
      </c>
      <c r="N16" s="297"/>
      <c r="O16" s="298">
        <f>46+20+14</f>
        <v>80</v>
      </c>
      <c r="P16" s="157">
        <f t="shared" si="0"/>
        <v>0</v>
      </c>
      <c r="Q16" s="450">
        <f t="shared" si="1"/>
        <v>0</v>
      </c>
      <c r="R16" s="360"/>
      <c r="AB16" s="461"/>
    </row>
    <row r="17" ht="15.75" thickBot="1">
      <c r="O17" s="4"/>
    </row>
    <row r="18" spans="1:22" ht="15.75" thickBot="1">
      <c r="A18" s="70"/>
      <c r="B18" s="71" t="s">
        <v>0</v>
      </c>
      <c r="C18" s="192" t="s">
        <v>1</v>
      </c>
      <c r="D18" s="71">
        <v>1</v>
      </c>
      <c r="E18" s="73">
        <v>2</v>
      </c>
      <c r="F18" s="74">
        <v>3</v>
      </c>
      <c r="G18" s="73">
        <v>4</v>
      </c>
      <c r="H18" s="73">
        <v>5</v>
      </c>
      <c r="I18" s="73">
        <v>6</v>
      </c>
      <c r="J18" s="73">
        <v>7</v>
      </c>
      <c r="K18" s="73">
        <v>8</v>
      </c>
      <c r="L18" s="75" t="s">
        <v>2</v>
      </c>
      <c r="M18" s="71" t="s">
        <v>3</v>
      </c>
      <c r="N18" s="73" t="s">
        <v>4</v>
      </c>
      <c r="O18" s="72" t="s">
        <v>5</v>
      </c>
      <c r="P18" s="76" t="s">
        <v>706</v>
      </c>
      <c r="Q18" s="77" t="s">
        <v>707</v>
      </c>
      <c r="R18" s="77" t="s">
        <v>7</v>
      </c>
      <c r="S18" s="72" t="s">
        <v>708</v>
      </c>
      <c r="T18" s="39" t="s">
        <v>9</v>
      </c>
      <c r="U18" s="39" t="s">
        <v>670</v>
      </c>
      <c r="V18" s="481" t="s">
        <v>221</v>
      </c>
    </row>
    <row r="19" spans="1:22" ht="15" customHeight="1">
      <c r="A19" s="586" t="s">
        <v>10</v>
      </c>
      <c r="B19" s="78">
        <v>1</v>
      </c>
      <c r="C19" s="193" t="s">
        <v>13</v>
      </c>
      <c r="D19" s="79"/>
      <c r="E19" s="80" t="s">
        <v>47</v>
      </c>
      <c r="F19" s="80" t="s">
        <v>134</v>
      </c>
      <c r="G19" s="80" t="s">
        <v>99</v>
      </c>
      <c r="H19" s="80" t="s">
        <v>35</v>
      </c>
      <c r="I19" s="80" t="s">
        <v>100</v>
      </c>
      <c r="J19" s="80" t="s">
        <v>47</v>
      </c>
      <c r="K19" s="80" t="s">
        <v>709</v>
      </c>
      <c r="L19" s="81">
        <v>7</v>
      </c>
      <c r="M19" s="82">
        <v>6</v>
      </c>
      <c r="N19" s="83">
        <v>0</v>
      </c>
      <c r="O19" s="84">
        <v>1</v>
      </c>
      <c r="P19" s="85">
        <v>0</v>
      </c>
      <c r="Q19" s="86" t="s">
        <v>710</v>
      </c>
      <c r="R19" s="86">
        <v>38</v>
      </c>
      <c r="S19" s="87">
        <v>16</v>
      </c>
      <c r="T19" s="40">
        <v>18</v>
      </c>
      <c r="U19" s="478">
        <f aca="true" t="shared" si="2" ref="U19:U26">M19*2+N19</f>
        <v>12</v>
      </c>
      <c r="V19" s="484">
        <v>16</v>
      </c>
    </row>
    <row r="20" spans="1:23" ht="15" customHeight="1">
      <c r="A20" s="586"/>
      <c r="B20" s="88">
        <v>2</v>
      </c>
      <c r="C20" s="194" t="s">
        <v>302</v>
      </c>
      <c r="D20" s="89" t="s">
        <v>51</v>
      </c>
      <c r="E20" s="90"/>
      <c r="F20" s="91" t="s">
        <v>269</v>
      </c>
      <c r="G20" s="91" t="s">
        <v>27</v>
      </c>
      <c r="H20" s="91" t="s">
        <v>67</v>
      </c>
      <c r="I20" s="91" t="s">
        <v>179</v>
      </c>
      <c r="J20" s="91" t="s">
        <v>16</v>
      </c>
      <c r="K20" s="91" t="s">
        <v>66</v>
      </c>
      <c r="L20" s="92">
        <v>7</v>
      </c>
      <c r="M20" s="93">
        <v>4</v>
      </c>
      <c r="N20" s="94">
        <v>1</v>
      </c>
      <c r="O20" s="95">
        <v>2</v>
      </c>
      <c r="P20" s="96">
        <v>0</v>
      </c>
      <c r="Q20" s="97" t="s">
        <v>711</v>
      </c>
      <c r="R20" s="97">
        <v>24</v>
      </c>
      <c r="S20" s="98">
        <v>2</v>
      </c>
      <c r="T20" s="41">
        <v>13</v>
      </c>
      <c r="U20" s="478">
        <f t="shared" si="2"/>
        <v>9</v>
      </c>
      <c r="V20" s="482">
        <v>16</v>
      </c>
      <c r="W20" s="459"/>
    </row>
    <row r="21" spans="1:23" ht="15" customHeight="1">
      <c r="A21" s="586"/>
      <c r="B21" s="88">
        <v>3</v>
      </c>
      <c r="C21" s="194" t="s">
        <v>311</v>
      </c>
      <c r="D21" s="89" t="s">
        <v>135</v>
      </c>
      <c r="E21" s="91" t="s">
        <v>268</v>
      </c>
      <c r="F21" s="90"/>
      <c r="G21" s="91" t="s">
        <v>131</v>
      </c>
      <c r="H21" s="91" t="s">
        <v>712</v>
      </c>
      <c r="I21" s="91" t="s">
        <v>47</v>
      </c>
      <c r="J21" s="91" t="s">
        <v>713</v>
      </c>
      <c r="K21" s="91" t="s">
        <v>35</v>
      </c>
      <c r="L21" s="92">
        <v>7</v>
      </c>
      <c r="M21" s="93">
        <v>4</v>
      </c>
      <c r="N21" s="94">
        <v>0</v>
      </c>
      <c r="O21" s="95">
        <v>3</v>
      </c>
      <c r="P21" s="96">
        <v>0</v>
      </c>
      <c r="Q21" s="97" t="s">
        <v>714</v>
      </c>
      <c r="R21" s="97">
        <v>27</v>
      </c>
      <c r="S21" s="98">
        <v>2</v>
      </c>
      <c r="T21" s="41">
        <v>12</v>
      </c>
      <c r="U21" s="478">
        <f t="shared" si="2"/>
        <v>8</v>
      </c>
      <c r="V21" s="482">
        <v>16</v>
      </c>
      <c r="W21" s="459"/>
    </row>
    <row r="22" spans="1:23" ht="15.75" customHeight="1" thickBot="1">
      <c r="A22" s="586"/>
      <c r="B22" s="99">
        <v>4</v>
      </c>
      <c r="C22" s="195" t="s">
        <v>118</v>
      </c>
      <c r="D22" s="117" t="s">
        <v>715</v>
      </c>
      <c r="E22" s="100" t="s">
        <v>27</v>
      </c>
      <c r="F22" s="100" t="s">
        <v>133</v>
      </c>
      <c r="G22" s="101"/>
      <c r="H22" s="100" t="s">
        <v>26</v>
      </c>
      <c r="I22" s="100" t="s">
        <v>716</v>
      </c>
      <c r="J22" s="100" t="s">
        <v>47</v>
      </c>
      <c r="K22" s="100" t="s">
        <v>717</v>
      </c>
      <c r="L22" s="102">
        <v>7</v>
      </c>
      <c r="M22" s="103">
        <v>3</v>
      </c>
      <c r="N22" s="104">
        <v>1</v>
      </c>
      <c r="O22" s="105">
        <v>3</v>
      </c>
      <c r="P22" s="106">
        <v>0</v>
      </c>
      <c r="Q22" s="107" t="s">
        <v>718</v>
      </c>
      <c r="R22" s="107">
        <v>30</v>
      </c>
      <c r="S22" s="108">
        <v>5</v>
      </c>
      <c r="T22" s="42">
        <v>10</v>
      </c>
      <c r="U22" s="479">
        <f t="shared" si="2"/>
        <v>7</v>
      </c>
      <c r="V22" s="485">
        <v>16</v>
      </c>
      <c r="W22" s="459"/>
    </row>
    <row r="23" spans="1:23" ht="15.75" customHeight="1" thickTop="1">
      <c r="A23" s="586"/>
      <c r="B23" s="78">
        <v>5</v>
      </c>
      <c r="C23" s="193" t="s">
        <v>314</v>
      </c>
      <c r="D23" s="109" t="s">
        <v>717</v>
      </c>
      <c r="E23" s="80" t="s">
        <v>713</v>
      </c>
      <c r="F23" s="80" t="s">
        <v>102</v>
      </c>
      <c r="G23" s="80" t="s">
        <v>719</v>
      </c>
      <c r="H23" s="110"/>
      <c r="I23" s="80" t="s">
        <v>61</v>
      </c>
      <c r="J23" s="80" t="s">
        <v>134</v>
      </c>
      <c r="K23" s="80" t="s">
        <v>16</v>
      </c>
      <c r="L23" s="81">
        <v>7</v>
      </c>
      <c r="M23" s="82">
        <v>3</v>
      </c>
      <c r="N23" s="83">
        <v>1</v>
      </c>
      <c r="O23" s="84">
        <v>3</v>
      </c>
      <c r="P23" s="111">
        <v>0</v>
      </c>
      <c r="Q23" s="86" t="s">
        <v>720</v>
      </c>
      <c r="R23" s="86">
        <v>31</v>
      </c>
      <c r="S23" s="87">
        <v>0</v>
      </c>
      <c r="T23" s="40">
        <v>10</v>
      </c>
      <c r="U23" s="478">
        <f t="shared" si="2"/>
        <v>7</v>
      </c>
      <c r="V23" s="482">
        <v>20</v>
      </c>
      <c r="W23" s="459"/>
    </row>
    <row r="24" spans="1:23" ht="15" customHeight="1">
      <c r="A24" s="586"/>
      <c r="B24" s="88">
        <v>6</v>
      </c>
      <c r="C24" s="460" t="s">
        <v>304</v>
      </c>
      <c r="D24" s="89" t="s">
        <v>721</v>
      </c>
      <c r="E24" s="91" t="s">
        <v>177</v>
      </c>
      <c r="F24" s="91" t="s">
        <v>51</v>
      </c>
      <c r="G24" s="91" t="s">
        <v>722</v>
      </c>
      <c r="H24" s="91" t="s">
        <v>61</v>
      </c>
      <c r="I24" s="90"/>
      <c r="J24" s="91" t="s">
        <v>107</v>
      </c>
      <c r="K24" s="91" t="s">
        <v>105</v>
      </c>
      <c r="L24" s="92">
        <v>7</v>
      </c>
      <c r="M24" s="93">
        <v>3</v>
      </c>
      <c r="N24" s="94">
        <v>1</v>
      </c>
      <c r="O24" s="95">
        <v>3</v>
      </c>
      <c r="P24" s="96">
        <v>0</v>
      </c>
      <c r="Q24" s="97" t="s">
        <v>723</v>
      </c>
      <c r="R24" s="97">
        <v>26</v>
      </c>
      <c r="S24" s="98">
        <v>-5</v>
      </c>
      <c r="T24" s="41">
        <v>10</v>
      </c>
      <c r="U24" s="480">
        <f t="shared" si="2"/>
        <v>7</v>
      </c>
      <c r="V24" s="482">
        <v>21</v>
      </c>
      <c r="W24" s="459"/>
    </row>
    <row r="25" spans="1:23" ht="15" customHeight="1">
      <c r="A25" s="586"/>
      <c r="B25" s="88">
        <v>7</v>
      </c>
      <c r="C25" s="194" t="s">
        <v>232</v>
      </c>
      <c r="D25" s="89" t="s">
        <v>51</v>
      </c>
      <c r="E25" s="91" t="s">
        <v>19</v>
      </c>
      <c r="F25" s="91" t="s">
        <v>67</v>
      </c>
      <c r="G25" s="91" t="s">
        <v>51</v>
      </c>
      <c r="H25" s="91" t="s">
        <v>135</v>
      </c>
      <c r="I25" s="91" t="s">
        <v>724</v>
      </c>
      <c r="J25" s="90"/>
      <c r="K25" s="91" t="s">
        <v>725</v>
      </c>
      <c r="L25" s="92">
        <v>7</v>
      </c>
      <c r="M25" s="93">
        <v>2</v>
      </c>
      <c r="N25" s="94">
        <v>0</v>
      </c>
      <c r="O25" s="95">
        <v>5</v>
      </c>
      <c r="P25" s="96">
        <v>0</v>
      </c>
      <c r="Q25" s="97" t="s">
        <v>726</v>
      </c>
      <c r="R25" s="97">
        <v>23</v>
      </c>
      <c r="S25" s="98">
        <v>-10</v>
      </c>
      <c r="T25" s="41">
        <v>6</v>
      </c>
      <c r="U25" s="480">
        <f t="shared" si="2"/>
        <v>4</v>
      </c>
      <c r="V25" s="482">
        <v>26</v>
      </c>
      <c r="W25" s="459"/>
    </row>
    <row r="26" spans="1:23" ht="15" customHeight="1" thickBot="1">
      <c r="A26" s="586"/>
      <c r="B26" s="88">
        <v>8</v>
      </c>
      <c r="C26" s="194" t="s">
        <v>126</v>
      </c>
      <c r="D26" s="89" t="s">
        <v>40</v>
      </c>
      <c r="E26" s="91" t="s">
        <v>727</v>
      </c>
      <c r="F26" s="91" t="s">
        <v>717</v>
      </c>
      <c r="G26" s="91" t="s">
        <v>35</v>
      </c>
      <c r="H26" s="91" t="s">
        <v>19</v>
      </c>
      <c r="I26" s="91" t="s">
        <v>106</v>
      </c>
      <c r="J26" s="91" t="s">
        <v>728</v>
      </c>
      <c r="K26" s="90"/>
      <c r="L26" s="92">
        <v>7</v>
      </c>
      <c r="M26" s="93">
        <v>1</v>
      </c>
      <c r="N26" s="94">
        <v>0</v>
      </c>
      <c r="O26" s="95">
        <v>6</v>
      </c>
      <c r="P26" s="96">
        <v>0</v>
      </c>
      <c r="Q26" s="97" t="s">
        <v>729</v>
      </c>
      <c r="R26" s="97">
        <v>25</v>
      </c>
      <c r="S26" s="98">
        <v>-10</v>
      </c>
      <c r="T26" s="41">
        <v>3</v>
      </c>
      <c r="U26" s="480">
        <f t="shared" si="2"/>
        <v>2</v>
      </c>
      <c r="V26" s="483">
        <v>30</v>
      </c>
      <c r="W26" s="459"/>
    </row>
    <row r="27" spans="1:23" ht="15.75" thickBot="1">
      <c r="A27" s="114"/>
      <c r="B27" s="114"/>
      <c r="C27" s="196"/>
      <c r="D27" s="114"/>
      <c r="E27" s="114"/>
      <c r="F27" s="114"/>
      <c r="G27" s="114"/>
      <c r="H27" s="114"/>
      <c r="I27" s="114"/>
      <c r="J27" s="114"/>
      <c r="K27" s="114"/>
      <c r="L27" s="114"/>
      <c r="M27" s="115"/>
      <c r="N27" s="115"/>
      <c r="O27" s="115"/>
      <c r="P27" s="115"/>
      <c r="Q27" s="115"/>
      <c r="R27" s="115"/>
      <c r="S27" s="115"/>
      <c r="T27" s="43"/>
      <c r="U27" s="43"/>
      <c r="W27" s="459"/>
    </row>
    <row r="28" spans="1:23" ht="15" customHeight="1" thickBot="1">
      <c r="A28" s="114"/>
      <c r="B28" s="71" t="s">
        <v>0</v>
      </c>
      <c r="C28" s="192" t="s">
        <v>1</v>
      </c>
      <c r="D28" s="116">
        <v>1</v>
      </c>
      <c r="E28" s="73">
        <v>2</v>
      </c>
      <c r="F28" s="73">
        <v>3</v>
      </c>
      <c r="G28" s="73">
        <v>4</v>
      </c>
      <c r="H28" s="73">
        <v>5</v>
      </c>
      <c r="I28" s="73">
        <v>6</v>
      </c>
      <c r="J28" s="73">
        <v>7</v>
      </c>
      <c r="K28" s="73">
        <v>8</v>
      </c>
      <c r="L28" s="75" t="s">
        <v>2</v>
      </c>
      <c r="M28" s="71" t="s">
        <v>3</v>
      </c>
      <c r="N28" s="73" t="s">
        <v>4</v>
      </c>
      <c r="O28" s="72" t="s">
        <v>5</v>
      </c>
      <c r="P28" s="76" t="s">
        <v>706</v>
      </c>
      <c r="Q28" s="77" t="s">
        <v>707</v>
      </c>
      <c r="R28" s="77" t="s">
        <v>7</v>
      </c>
      <c r="S28" s="72" t="s">
        <v>708</v>
      </c>
      <c r="T28" s="39" t="s">
        <v>9</v>
      </c>
      <c r="U28" s="39" t="s">
        <v>670</v>
      </c>
      <c r="V28" s="481" t="s">
        <v>221</v>
      </c>
      <c r="W28" s="459"/>
    </row>
    <row r="29" spans="1:23" ht="15" customHeight="1">
      <c r="A29" s="586" t="s">
        <v>23</v>
      </c>
      <c r="B29" s="78">
        <v>1</v>
      </c>
      <c r="C29" s="193" t="s">
        <v>325</v>
      </c>
      <c r="D29" s="79"/>
      <c r="E29" s="80" t="s">
        <v>178</v>
      </c>
      <c r="F29" s="80" t="s">
        <v>713</v>
      </c>
      <c r="G29" s="80" t="s">
        <v>27</v>
      </c>
      <c r="H29" s="80" t="s">
        <v>730</v>
      </c>
      <c r="I29" s="80" t="s">
        <v>60</v>
      </c>
      <c r="J29" s="80" t="s">
        <v>131</v>
      </c>
      <c r="K29" s="80" t="s">
        <v>177</v>
      </c>
      <c r="L29" s="81">
        <v>7</v>
      </c>
      <c r="M29" s="82">
        <v>4</v>
      </c>
      <c r="N29" s="83">
        <v>1</v>
      </c>
      <c r="O29" s="84">
        <v>2</v>
      </c>
      <c r="P29" s="85">
        <v>0</v>
      </c>
      <c r="Q29" s="86" t="s">
        <v>731</v>
      </c>
      <c r="R29" s="86">
        <v>30</v>
      </c>
      <c r="S29" s="87">
        <v>14</v>
      </c>
      <c r="T29" s="40">
        <v>13</v>
      </c>
      <c r="U29" s="40">
        <f>M29*2+N29</f>
        <v>9</v>
      </c>
      <c r="V29" s="484">
        <v>16</v>
      </c>
      <c r="W29" s="459"/>
    </row>
    <row r="30" spans="1:23" ht="15" customHeight="1">
      <c r="A30" s="586"/>
      <c r="B30" s="88">
        <v>2</v>
      </c>
      <c r="C30" s="194" t="s">
        <v>322</v>
      </c>
      <c r="D30" s="89" t="s">
        <v>180</v>
      </c>
      <c r="E30" s="90"/>
      <c r="F30" s="91" t="s">
        <v>14</v>
      </c>
      <c r="G30" s="91" t="s">
        <v>37</v>
      </c>
      <c r="H30" s="91" t="s">
        <v>732</v>
      </c>
      <c r="I30" s="91" t="s">
        <v>131</v>
      </c>
      <c r="J30" s="91" t="s">
        <v>12</v>
      </c>
      <c r="K30" s="91" t="s">
        <v>733</v>
      </c>
      <c r="L30" s="92">
        <v>7</v>
      </c>
      <c r="M30" s="93">
        <v>4</v>
      </c>
      <c r="N30" s="94">
        <v>1</v>
      </c>
      <c r="O30" s="95">
        <v>2</v>
      </c>
      <c r="P30" s="96">
        <v>0</v>
      </c>
      <c r="Q30" s="97" t="s">
        <v>734</v>
      </c>
      <c r="R30" s="97">
        <v>27</v>
      </c>
      <c r="S30" s="98">
        <v>6</v>
      </c>
      <c r="T30" s="41">
        <v>13</v>
      </c>
      <c r="U30" s="40">
        <f>M30*2+N30</f>
        <v>9</v>
      </c>
      <c r="V30" s="482">
        <v>16</v>
      </c>
      <c r="W30" s="459"/>
    </row>
    <row r="31" spans="1:23" ht="15.75" customHeight="1">
      <c r="A31" s="586"/>
      <c r="B31" s="88">
        <v>3</v>
      </c>
      <c r="C31" s="194" t="s">
        <v>29</v>
      </c>
      <c r="D31" s="89" t="s">
        <v>67</v>
      </c>
      <c r="E31" s="91" t="s">
        <v>22</v>
      </c>
      <c r="F31" s="90"/>
      <c r="G31" s="91" t="s">
        <v>135</v>
      </c>
      <c r="H31" s="91" t="s">
        <v>105</v>
      </c>
      <c r="I31" s="91" t="s">
        <v>19</v>
      </c>
      <c r="J31" s="91" t="s">
        <v>735</v>
      </c>
      <c r="K31" s="91" t="s">
        <v>60</v>
      </c>
      <c r="L31" s="92">
        <v>7</v>
      </c>
      <c r="M31" s="93">
        <v>4</v>
      </c>
      <c r="N31" s="94">
        <v>0</v>
      </c>
      <c r="O31" s="95">
        <v>2</v>
      </c>
      <c r="P31" s="96">
        <v>1</v>
      </c>
      <c r="Q31" s="97" t="s">
        <v>736</v>
      </c>
      <c r="R31" s="97">
        <v>28</v>
      </c>
      <c r="S31" s="98">
        <v>12</v>
      </c>
      <c r="T31" s="41">
        <v>11</v>
      </c>
      <c r="U31" s="40">
        <f>M31*2+N31-P31</f>
        <v>7</v>
      </c>
      <c r="V31" s="482">
        <v>16</v>
      </c>
      <c r="W31" s="459"/>
    </row>
    <row r="32" spans="1:23" ht="15.75" customHeight="1" thickBot="1">
      <c r="A32" s="586"/>
      <c r="B32" s="99">
        <v>4</v>
      </c>
      <c r="C32" s="195" t="s">
        <v>52</v>
      </c>
      <c r="D32" s="117" t="s">
        <v>27</v>
      </c>
      <c r="E32" s="100" t="s">
        <v>37</v>
      </c>
      <c r="F32" s="100" t="s">
        <v>134</v>
      </c>
      <c r="G32" s="101"/>
      <c r="H32" s="100" t="s">
        <v>272</v>
      </c>
      <c r="I32" s="100" t="s">
        <v>59</v>
      </c>
      <c r="J32" s="100" t="s">
        <v>19</v>
      </c>
      <c r="K32" s="100" t="s">
        <v>105</v>
      </c>
      <c r="L32" s="102">
        <v>7</v>
      </c>
      <c r="M32" s="103">
        <v>3</v>
      </c>
      <c r="N32" s="104">
        <v>2</v>
      </c>
      <c r="O32" s="105">
        <v>2</v>
      </c>
      <c r="P32" s="106">
        <v>0</v>
      </c>
      <c r="Q32" s="107" t="s">
        <v>737</v>
      </c>
      <c r="R32" s="107">
        <v>23</v>
      </c>
      <c r="S32" s="108">
        <v>3</v>
      </c>
      <c r="T32" s="42">
        <v>11</v>
      </c>
      <c r="U32" s="42">
        <f>M32*2+N32</f>
        <v>8</v>
      </c>
      <c r="V32" s="485">
        <v>16</v>
      </c>
      <c r="W32" s="459"/>
    </row>
    <row r="33" spans="1:23" ht="15" customHeight="1" thickTop="1">
      <c r="A33" s="586"/>
      <c r="B33" s="78">
        <v>5</v>
      </c>
      <c r="C33" s="193" t="s">
        <v>307</v>
      </c>
      <c r="D33" s="109" t="s">
        <v>63</v>
      </c>
      <c r="E33" s="80" t="s">
        <v>735</v>
      </c>
      <c r="F33" s="80" t="s">
        <v>106</v>
      </c>
      <c r="G33" s="80" t="s">
        <v>273</v>
      </c>
      <c r="H33" s="110"/>
      <c r="I33" s="80" t="s">
        <v>735</v>
      </c>
      <c r="J33" s="80" t="s">
        <v>37</v>
      </c>
      <c r="K33" s="80" t="s">
        <v>69</v>
      </c>
      <c r="L33" s="81">
        <v>7</v>
      </c>
      <c r="M33" s="82">
        <v>3</v>
      </c>
      <c r="N33" s="83">
        <v>1</v>
      </c>
      <c r="O33" s="84">
        <v>3</v>
      </c>
      <c r="P33" s="111">
        <v>0</v>
      </c>
      <c r="Q33" s="86" t="s">
        <v>738</v>
      </c>
      <c r="R33" s="86">
        <v>28</v>
      </c>
      <c r="S33" s="87">
        <v>7</v>
      </c>
      <c r="T33" s="40">
        <v>10</v>
      </c>
      <c r="U33" s="40">
        <f>M33*2+N33</f>
        <v>7</v>
      </c>
      <c r="V33" s="482">
        <v>18</v>
      </c>
      <c r="W33" s="459"/>
    </row>
    <row r="34" spans="1:23" ht="15" customHeight="1">
      <c r="A34" s="586"/>
      <c r="B34" s="88">
        <v>6</v>
      </c>
      <c r="C34" s="460" t="s">
        <v>671</v>
      </c>
      <c r="D34" s="89" t="s">
        <v>62</v>
      </c>
      <c r="E34" s="91" t="s">
        <v>133</v>
      </c>
      <c r="F34" s="91" t="s">
        <v>16</v>
      </c>
      <c r="G34" s="91" t="s">
        <v>739</v>
      </c>
      <c r="H34" s="91" t="s">
        <v>732</v>
      </c>
      <c r="I34" s="90"/>
      <c r="J34" s="91" t="s">
        <v>105</v>
      </c>
      <c r="K34" s="91" t="s">
        <v>16</v>
      </c>
      <c r="L34" s="92">
        <v>7</v>
      </c>
      <c r="M34" s="93">
        <v>3</v>
      </c>
      <c r="N34" s="94">
        <v>0</v>
      </c>
      <c r="O34" s="95">
        <v>4</v>
      </c>
      <c r="P34" s="96">
        <v>0</v>
      </c>
      <c r="Q34" s="97" t="s">
        <v>740</v>
      </c>
      <c r="R34" s="97">
        <v>17</v>
      </c>
      <c r="S34" s="98">
        <v>-16</v>
      </c>
      <c r="T34" s="41">
        <v>9</v>
      </c>
      <c r="U34" s="41">
        <f>M34*2+N34</f>
        <v>6</v>
      </c>
      <c r="V34" s="482">
        <v>22</v>
      </c>
      <c r="W34" s="459"/>
    </row>
    <row r="35" spans="1:23" ht="15" customHeight="1">
      <c r="A35" s="586"/>
      <c r="B35" s="88">
        <v>7</v>
      </c>
      <c r="C35" s="194" t="s">
        <v>313</v>
      </c>
      <c r="D35" s="89" t="s">
        <v>133</v>
      </c>
      <c r="E35" s="91" t="s">
        <v>741</v>
      </c>
      <c r="F35" s="91" t="s">
        <v>732</v>
      </c>
      <c r="G35" s="91" t="s">
        <v>16</v>
      </c>
      <c r="H35" s="91" t="s">
        <v>37</v>
      </c>
      <c r="I35" s="91" t="s">
        <v>106</v>
      </c>
      <c r="J35" s="90"/>
      <c r="K35" s="91" t="s">
        <v>47</v>
      </c>
      <c r="L35" s="92">
        <v>7</v>
      </c>
      <c r="M35" s="93">
        <v>2</v>
      </c>
      <c r="N35" s="94">
        <v>1</v>
      </c>
      <c r="O35" s="95">
        <v>4</v>
      </c>
      <c r="P35" s="96">
        <v>0</v>
      </c>
      <c r="Q35" s="97" t="s">
        <v>742</v>
      </c>
      <c r="R35" s="97">
        <v>16</v>
      </c>
      <c r="S35" s="98">
        <v>-15</v>
      </c>
      <c r="T35" s="41">
        <v>7</v>
      </c>
      <c r="U35" s="41">
        <f>M35*2+N35</f>
        <v>5</v>
      </c>
      <c r="V35" s="482">
        <v>25</v>
      </c>
      <c r="W35" s="459"/>
    </row>
    <row r="36" spans="1:23" ht="15.75" customHeight="1" thickBot="1">
      <c r="A36" s="586"/>
      <c r="B36" s="88">
        <v>8</v>
      </c>
      <c r="C36" s="194" t="s">
        <v>305</v>
      </c>
      <c r="D36" s="89" t="s">
        <v>179</v>
      </c>
      <c r="E36" s="91" t="s">
        <v>98</v>
      </c>
      <c r="F36" s="91" t="s">
        <v>62</v>
      </c>
      <c r="G36" s="91" t="s">
        <v>106</v>
      </c>
      <c r="H36" s="91" t="s">
        <v>743</v>
      </c>
      <c r="I36" s="91" t="s">
        <v>19</v>
      </c>
      <c r="J36" s="91" t="s">
        <v>51</v>
      </c>
      <c r="K36" s="90"/>
      <c r="L36" s="92">
        <v>7</v>
      </c>
      <c r="M36" s="93">
        <v>2</v>
      </c>
      <c r="N36" s="94">
        <v>0</v>
      </c>
      <c r="O36" s="95">
        <v>5</v>
      </c>
      <c r="P36" s="96">
        <v>0</v>
      </c>
      <c r="Q36" s="97" t="s">
        <v>744</v>
      </c>
      <c r="R36" s="97">
        <v>20</v>
      </c>
      <c r="S36" s="98">
        <v>-11</v>
      </c>
      <c r="T36" s="41">
        <v>6</v>
      </c>
      <c r="U36" s="41">
        <f>M36*2+N36</f>
        <v>4</v>
      </c>
      <c r="V36" s="483">
        <v>27</v>
      </c>
      <c r="W36" s="459"/>
    </row>
    <row r="37" spans="1:23" ht="15" customHeight="1" thickBot="1">
      <c r="A37" s="114"/>
      <c r="B37" s="114"/>
      <c r="C37" s="196"/>
      <c r="D37" s="114"/>
      <c r="E37" s="114"/>
      <c r="F37" s="114"/>
      <c r="G37" s="114"/>
      <c r="H37" s="114"/>
      <c r="I37" s="114"/>
      <c r="J37" s="114"/>
      <c r="K37" s="114"/>
      <c r="L37" s="114"/>
      <c r="M37" s="115"/>
      <c r="N37" s="115"/>
      <c r="O37" s="115"/>
      <c r="P37" s="115"/>
      <c r="Q37" s="115"/>
      <c r="R37" s="115"/>
      <c r="S37" s="115"/>
      <c r="T37" s="43"/>
      <c r="U37" s="43"/>
      <c r="W37" s="459"/>
    </row>
    <row r="38" spans="1:23" ht="15" customHeight="1" thickBot="1">
      <c r="A38" s="114"/>
      <c r="B38" s="71" t="s">
        <v>0</v>
      </c>
      <c r="C38" s="192" t="s">
        <v>1</v>
      </c>
      <c r="D38" s="71">
        <v>1</v>
      </c>
      <c r="E38" s="73">
        <v>2</v>
      </c>
      <c r="F38" s="73">
        <v>3</v>
      </c>
      <c r="G38" s="73">
        <v>4</v>
      </c>
      <c r="H38" s="73">
        <v>5</v>
      </c>
      <c r="I38" s="73">
        <v>6</v>
      </c>
      <c r="J38" s="74">
        <v>7</v>
      </c>
      <c r="K38" s="73">
        <v>8</v>
      </c>
      <c r="L38" s="75" t="s">
        <v>2</v>
      </c>
      <c r="M38" s="71" t="s">
        <v>3</v>
      </c>
      <c r="N38" s="73" t="s">
        <v>4</v>
      </c>
      <c r="O38" s="72" t="s">
        <v>5</v>
      </c>
      <c r="P38" s="76" t="s">
        <v>706</v>
      </c>
      <c r="Q38" s="77" t="s">
        <v>707</v>
      </c>
      <c r="R38" s="77" t="s">
        <v>7</v>
      </c>
      <c r="S38" s="72" t="s">
        <v>708</v>
      </c>
      <c r="T38" s="39" t="s">
        <v>9</v>
      </c>
      <c r="U38" s="39" t="s">
        <v>670</v>
      </c>
      <c r="V38" s="481" t="s">
        <v>221</v>
      </c>
      <c r="W38" s="459"/>
    </row>
    <row r="39" spans="1:23" ht="15" customHeight="1">
      <c r="A39" s="586" t="s">
        <v>31</v>
      </c>
      <c r="B39" s="78">
        <v>1</v>
      </c>
      <c r="C39" s="193" t="s">
        <v>238</v>
      </c>
      <c r="D39" s="197"/>
      <c r="E39" s="198" t="s">
        <v>40</v>
      </c>
      <c r="F39" s="198" t="s">
        <v>99</v>
      </c>
      <c r="G39" s="198" t="s">
        <v>131</v>
      </c>
      <c r="H39" s="198" t="s">
        <v>16</v>
      </c>
      <c r="I39" s="198" t="s">
        <v>12</v>
      </c>
      <c r="J39" s="198" t="s">
        <v>19</v>
      </c>
      <c r="K39" s="198" t="s">
        <v>26</v>
      </c>
      <c r="L39" s="81">
        <v>7</v>
      </c>
      <c r="M39" s="82">
        <v>5</v>
      </c>
      <c r="N39" s="83">
        <v>0</v>
      </c>
      <c r="O39" s="84">
        <v>2</v>
      </c>
      <c r="P39" s="85">
        <v>0</v>
      </c>
      <c r="Q39" s="86" t="s">
        <v>745</v>
      </c>
      <c r="R39" s="86">
        <v>33</v>
      </c>
      <c r="S39" s="87">
        <v>10</v>
      </c>
      <c r="T39" s="40">
        <v>15</v>
      </c>
      <c r="U39" s="40">
        <f aca="true" t="shared" si="3" ref="U39:U46">M39*2+N39</f>
        <v>10</v>
      </c>
      <c r="V39" s="484">
        <v>16</v>
      </c>
      <c r="W39" s="459"/>
    </row>
    <row r="40" spans="1:23" ht="15.75" customHeight="1">
      <c r="A40" s="586"/>
      <c r="B40" s="88">
        <v>2</v>
      </c>
      <c r="C40" s="194" t="s">
        <v>120</v>
      </c>
      <c r="D40" s="89" t="s">
        <v>709</v>
      </c>
      <c r="E40" s="90"/>
      <c r="F40" s="91" t="s">
        <v>35</v>
      </c>
      <c r="G40" s="91" t="s">
        <v>271</v>
      </c>
      <c r="H40" s="91" t="s">
        <v>746</v>
      </c>
      <c r="I40" s="91" t="s">
        <v>67</v>
      </c>
      <c r="J40" s="91" t="s">
        <v>273</v>
      </c>
      <c r="K40" s="91" t="s">
        <v>47</v>
      </c>
      <c r="L40" s="92">
        <v>7</v>
      </c>
      <c r="M40" s="93">
        <v>5</v>
      </c>
      <c r="N40" s="94">
        <v>0</v>
      </c>
      <c r="O40" s="95">
        <v>2</v>
      </c>
      <c r="P40" s="96">
        <v>0</v>
      </c>
      <c r="Q40" s="97" t="s">
        <v>450</v>
      </c>
      <c r="R40" s="97">
        <v>27</v>
      </c>
      <c r="S40" s="98">
        <v>0</v>
      </c>
      <c r="T40" s="41">
        <v>15</v>
      </c>
      <c r="U40" s="40">
        <f t="shared" si="3"/>
        <v>10</v>
      </c>
      <c r="V40" s="482">
        <v>16</v>
      </c>
      <c r="W40" s="459"/>
    </row>
    <row r="41" spans="1:23" ht="15.75" customHeight="1">
      <c r="A41" s="586"/>
      <c r="B41" s="88">
        <v>3</v>
      </c>
      <c r="C41" s="194" t="s">
        <v>15</v>
      </c>
      <c r="D41" s="89" t="s">
        <v>715</v>
      </c>
      <c r="E41" s="91" t="s">
        <v>717</v>
      </c>
      <c r="F41" s="90"/>
      <c r="G41" s="91" t="s">
        <v>107</v>
      </c>
      <c r="H41" s="91" t="s">
        <v>105</v>
      </c>
      <c r="I41" s="91" t="s">
        <v>747</v>
      </c>
      <c r="J41" s="91" t="s">
        <v>107</v>
      </c>
      <c r="K41" s="91" t="s">
        <v>716</v>
      </c>
      <c r="L41" s="92">
        <v>7</v>
      </c>
      <c r="M41" s="93">
        <v>4</v>
      </c>
      <c r="N41" s="94">
        <v>0</v>
      </c>
      <c r="O41" s="95">
        <v>3</v>
      </c>
      <c r="P41" s="96">
        <v>0</v>
      </c>
      <c r="Q41" s="97" t="s">
        <v>748</v>
      </c>
      <c r="R41" s="97">
        <v>37</v>
      </c>
      <c r="S41" s="98">
        <v>13</v>
      </c>
      <c r="T41" s="41">
        <v>12</v>
      </c>
      <c r="U41" s="40">
        <f t="shared" si="3"/>
        <v>8</v>
      </c>
      <c r="V41" s="482">
        <v>16</v>
      </c>
      <c r="W41" s="459"/>
    </row>
    <row r="42" spans="1:23" ht="15" customHeight="1" thickBot="1">
      <c r="A42" s="586"/>
      <c r="B42" s="99">
        <v>4</v>
      </c>
      <c r="C42" s="195" t="s">
        <v>315</v>
      </c>
      <c r="D42" s="117" t="s">
        <v>133</v>
      </c>
      <c r="E42" s="100" t="s">
        <v>270</v>
      </c>
      <c r="F42" s="100" t="s">
        <v>724</v>
      </c>
      <c r="G42" s="101"/>
      <c r="H42" s="100" t="s">
        <v>37</v>
      </c>
      <c r="I42" s="100" t="s">
        <v>749</v>
      </c>
      <c r="J42" s="100" t="s">
        <v>44</v>
      </c>
      <c r="K42" s="100" t="s">
        <v>65</v>
      </c>
      <c r="L42" s="102">
        <v>7</v>
      </c>
      <c r="M42" s="103">
        <v>3</v>
      </c>
      <c r="N42" s="104">
        <v>2</v>
      </c>
      <c r="O42" s="105">
        <v>2</v>
      </c>
      <c r="P42" s="106">
        <v>0</v>
      </c>
      <c r="Q42" s="107" t="s">
        <v>538</v>
      </c>
      <c r="R42" s="107">
        <v>26</v>
      </c>
      <c r="S42" s="108">
        <v>0</v>
      </c>
      <c r="T42" s="42">
        <v>11</v>
      </c>
      <c r="U42" s="42">
        <f t="shared" si="3"/>
        <v>8</v>
      </c>
      <c r="V42" s="485">
        <v>16</v>
      </c>
      <c r="W42" s="459"/>
    </row>
    <row r="43" spans="1:23" ht="15" customHeight="1" thickTop="1">
      <c r="A43" s="586"/>
      <c r="B43" s="78">
        <v>5</v>
      </c>
      <c r="C43" s="193" t="s">
        <v>28</v>
      </c>
      <c r="D43" s="109" t="s">
        <v>19</v>
      </c>
      <c r="E43" s="80" t="s">
        <v>750</v>
      </c>
      <c r="F43" s="80" t="s">
        <v>106</v>
      </c>
      <c r="G43" s="80" t="s">
        <v>37</v>
      </c>
      <c r="H43" s="110"/>
      <c r="I43" s="80" t="s">
        <v>63</v>
      </c>
      <c r="J43" s="80" t="s">
        <v>99</v>
      </c>
      <c r="K43" s="80" t="s">
        <v>107</v>
      </c>
      <c r="L43" s="81">
        <v>7</v>
      </c>
      <c r="M43" s="82">
        <v>3</v>
      </c>
      <c r="N43" s="83">
        <v>1</v>
      </c>
      <c r="O43" s="84">
        <v>3</v>
      </c>
      <c r="P43" s="111">
        <v>0</v>
      </c>
      <c r="Q43" s="86" t="s">
        <v>751</v>
      </c>
      <c r="R43" s="86">
        <v>34</v>
      </c>
      <c r="S43" s="87">
        <v>12</v>
      </c>
      <c r="T43" s="40">
        <v>10</v>
      </c>
      <c r="U43" s="40">
        <f t="shared" si="3"/>
        <v>7</v>
      </c>
      <c r="V43" s="482">
        <v>17</v>
      </c>
      <c r="W43" s="459"/>
    </row>
    <row r="44" spans="1:23" ht="15" customHeight="1">
      <c r="A44" s="586"/>
      <c r="B44" s="88">
        <v>6</v>
      </c>
      <c r="C44" s="194" t="s">
        <v>33</v>
      </c>
      <c r="D44" s="89" t="s">
        <v>741</v>
      </c>
      <c r="E44" s="91" t="s">
        <v>713</v>
      </c>
      <c r="F44" s="91" t="s">
        <v>44</v>
      </c>
      <c r="G44" s="91" t="s">
        <v>68</v>
      </c>
      <c r="H44" s="91" t="s">
        <v>730</v>
      </c>
      <c r="I44" s="90"/>
      <c r="J44" s="91" t="s">
        <v>65</v>
      </c>
      <c r="K44" s="91" t="s">
        <v>12</v>
      </c>
      <c r="L44" s="92">
        <v>7</v>
      </c>
      <c r="M44" s="93">
        <v>3</v>
      </c>
      <c r="N44" s="94">
        <v>1</v>
      </c>
      <c r="O44" s="95">
        <v>3</v>
      </c>
      <c r="P44" s="96">
        <v>0</v>
      </c>
      <c r="Q44" s="97" t="s">
        <v>752</v>
      </c>
      <c r="R44" s="97">
        <v>37</v>
      </c>
      <c r="S44" s="98">
        <v>6</v>
      </c>
      <c r="T44" s="41">
        <v>10</v>
      </c>
      <c r="U44" s="41">
        <f t="shared" si="3"/>
        <v>7</v>
      </c>
      <c r="V44" s="482">
        <v>19</v>
      </c>
      <c r="W44" s="459"/>
    </row>
    <row r="45" spans="1:23" ht="15.75" customHeight="1">
      <c r="A45" s="586"/>
      <c r="B45" s="88">
        <v>7</v>
      </c>
      <c r="C45" s="194" t="s">
        <v>766</v>
      </c>
      <c r="D45" s="89" t="s">
        <v>16</v>
      </c>
      <c r="E45" s="91" t="s">
        <v>272</v>
      </c>
      <c r="F45" s="91" t="s">
        <v>724</v>
      </c>
      <c r="G45" s="91" t="s">
        <v>747</v>
      </c>
      <c r="H45" s="91" t="s">
        <v>715</v>
      </c>
      <c r="I45" s="91" t="s">
        <v>65</v>
      </c>
      <c r="J45" s="90"/>
      <c r="K45" s="91" t="s">
        <v>709</v>
      </c>
      <c r="L45" s="92">
        <v>7</v>
      </c>
      <c r="M45" s="93">
        <v>2</v>
      </c>
      <c r="N45" s="94">
        <v>1</v>
      </c>
      <c r="O45" s="95">
        <v>4</v>
      </c>
      <c r="P45" s="96">
        <v>0</v>
      </c>
      <c r="Q45" s="97" t="s">
        <v>753</v>
      </c>
      <c r="R45" s="97">
        <v>22</v>
      </c>
      <c r="S45" s="98">
        <v>-11</v>
      </c>
      <c r="T45" s="41">
        <v>7</v>
      </c>
      <c r="U45" s="41">
        <f t="shared" si="3"/>
        <v>5</v>
      </c>
      <c r="V45" s="482">
        <v>24</v>
      </c>
      <c r="W45" s="459"/>
    </row>
    <row r="46" spans="1:23" ht="15" customHeight="1" thickBot="1">
      <c r="A46" s="586"/>
      <c r="B46" s="88">
        <v>8</v>
      </c>
      <c r="C46" s="194" t="s">
        <v>127</v>
      </c>
      <c r="D46" s="89" t="s">
        <v>719</v>
      </c>
      <c r="E46" s="91" t="s">
        <v>51</v>
      </c>
      <c r="F46" s="91" t="s">
        <v>722</v>
      </c>
      <c r="G46" s="91" t="s">
        <v>65</v>
      </c>
      <c r="H46" s="91" t="s">
        <v>724</v>
      </c>
      <c r="I46" s="91" t="s">
        <v>741</v>
      </c>
      <c r="J46" s="91" t="s">
        <v>40</v>
      </c>
      <c r="K46" s="90"/>
      <c r="L46" s="92">
        <v>7</v>
      </c>
      <c r="M46" s="93">
        <v>0</v>
      </c>
      <c r="N46" s="94">
        <v>1</v>
      </c>
      <c r="O46" s="95">
        <v>6</v>
      </c>
      <c r="P46" s="96">
        <v>0</v>
      </c>
      <c r="Q46" s="97" t="s">
        <v>754</v>
      </c>
      <c r="R46" s="97">
        <v>14</v>
      </c>
      <c r="S46" s="98">
        <v>-30</v>
      </c>
      <c r="T46" s="41">
        <v>1</v>
      </c>
      <c r="U46" s="41">
        <f t="shared" si="3"/>
        <v>1</v>
      </c>
      <c r="V46" s="483">
        <v>32</v>
      </c>
      <c r="W46" s="459"/>
    </row>
    <row r="47" spans="1:23" ht="15" customHeight="1" thickBot="1">
      <c r="A47" s="114"/>
      <c r="B47" s="114"/>
      <c r="C47" s="196"/>
      <c r="D47" s="114"/>
      <c r="E47" s="114"/>
      <c r="F47" s="114"/>
      <c r="G47" s="114"/>
      <c r="H47" s="114"/>
      <c r="I47" s="114"/>
      <c r="J47" s="114"/>
      <c r="K47" s="114"/>
      <c r="L47" s="114"/>
      <c r="M47" s="115"/>
      <c r="N47" s="115"/>
      <c r="O47" s="115"/>
      <c r="P47" s="115"/>
      <c r="Q47" s="115"/>
      <c r="R47" s="115"/>
      <c r="S47" s="115"/>
      <c r="T47" s="43"/>
      <c r="U47" s="43"/>
      <c r="W47" s="459"/>
    </row>
    <row r="48" spans="1:23" ht="15" customHeight="1" thickBot="1">
      <c r="A48" s="114"/>
      <c r="B48" s="71" t="s">
        <v>0</v>
      </c>
      <c r="C48" s="192" t="s">
        <v>1</v>
      </c>
      <c r="D48" s="71">
        <v>1</v>
      </c>
      <c r="E48" s="73">
        <v>2</v>
      </c>
      <c r="F48" s="73">
        <v>3</v>
      </c>
      <c r="G48" s="74">
        <v>4</v>
      </c>
      <c r="H48" s="73">
        <v>5</v>
      </c>
      <c r="I48" s="73">
        <v>6</v>
      </c>
      <c r="J48" s="73">
        <v>7</v>
      </c>
      <c r="K48" s="73">
        <v>8</v>
      </c>
      <c r="L48" s="75" t="s">
        <v>2</v>
      </c>
      <c r="M48" s="71" t="s">
        <v>3</v>
      </c>
      <c r="N48" s="73" t="s">
        <v>4</v>
      </c>
      <c r="O48" s="72" t="s">
        <v>5</v>
      </c>
      <c r="P48" s="76" t="s">
        <v>706</v>
      </c>
      <c r="Q48" s="77" t="s">
        <v>707</v>
      </c>
      <c r="R48" s="77" t="s">
        <v>7</v>
      </c>
      <c r="S48" s="72" t="s">
        <v>708</v>
      </c>
      <c r="T48" s="39" t="s">
        <v>9</v>
      </c>
      <c r="U48" s="39" t="s">
        <v>670</v>
      </c>
      <c r="V48" s="481" t="s">
        <v>221</v>
      </c>
      <c r="W48" s="459"/>
    </row>
    <row r="49" spans="1:23" ht="15.75" customHeight="1">
      <c r="A49" s="586" t="s">
        <v>42</v>
      </c>
      <c r="B49" s="78">
        <v>1</v>
      </c>
      <c r="C49" s="193" t="s">
        <v>306</v>
      </c>
      <c r="D49" s="197"/>
      <c r="E49" s="198" t="s">
        <v>727</v>
      </c>
      <c r="F49" s="198" t="s">
        <v>137</v>
      </c>
      <c r="G49" s="198" t="s">
        <v>709</v>
      </c>
      <c r="H49" s="198" t="s">
        <v>66</v>
      </c>
      <c r="I49" s="198" t="s">
        <v>273</v>
      </c>
      <c r="J49" s="198" t="s">
        <v>268</v>
      </c>
      <c r="K49" s="198" t="s">
        <v>755</v>
      </c>
      <c r="L49" s="81">
        <v>7</v>
      </c>
      <c r="M49" s="82">
        <v>6</v>
      </c>
      <c r="N49" s="83">
        <v>0</v>
      </c>
      <c r="O49" s="84">
        <v>1</v>
      </c>
      <c r="P49" s="85">
        <v>0</v>
      </c>
      <c r="Q49" s="86" t="s">
        <v>756</v>
      </c>
      <c r="R49" s="86">
        <v>35</v>
      </c>
      <c r="S49" s="87">
        <v>20</v>
      </c>
      <c r="T49" s="40">
        <v>18</v>
      </c>
      <c r="U49" s="40">
        <f aca="true" t="shared" si="4" ref="U49:U56">M49*2+N49</f>
        <v>12</v>
      </c>
      <c r="V49" s="484">
        <v>16</v>
      </c>
      <c r="W49" s="459"/>
    </row>
    <row r="50" spans="1:23" ht="15.75" customHeight="1">
      <c r="A50" s="586"/>
      <c r="B50" s="88">
        <v>2</v>
      </c>
      <c r="C50" s="194" t="s">
        <v>124</v>
      </c>
      <c r="D50" s="89" t="s">
        <v>66</v>
      </c>
      <c r="E50" s="90"/>
      <c r="F50" s="91" t="s">
        <v>99</v>
      </c>
      <c r="G50" s="91" t="s">
        <v>65</v>
      </c>
      <c r="H50" s="91" t="s">
        <v>37</v>
      </c>
      <c r="I50" s="91" t="s">
        <v>134</v>
      </c>
      <c r="J50" s="91" t="s">
        <v>44</v>
      </c>
      <c r="K50" s="91" t="s">
        <v>66</v>
      </c>
      <c r="L50" s="92">
        <v>7</v>
      </c>
      <c r="M50" s="93">
        <v>5</v>
      </c>
      <c r="N50" s="94">
        <v>2</v>
      </c>
      <c r="O50" s="95">
        <v>0</v>
      </c>
      <c r="P50" s="96">
        <v>0</v>
      </c>
      <c r="Q50" s="97" t="s">
        <v>745</v>
      </c>
      <c r="R50" s="97">
        <v>33</v>
      </c>
      <c r="S50" s="98">
        <v>10</v>
      </c>
      <c r="T50" s="41">
        <v>17</v>
      </c>
      <c r="U50" s="40">
        <f t="shared" si="4"/>
        <v>12</v>
      </c>
      <c r="V50" s="482">
        <v>16</v>
      </c>
      <c r="W50" s="459"/>
    </row>
    <row r="51" spans="1:23" ht="15" customHeight="1">
      <c r="A51" s="586"/>
      <c r="B51" s="88">
        <v>3</v>
      </c>
      <c r="C51" s="194" t="s">
        <v>323</v>
      </c>
      <c r="D51" s="89" t="s">
        <v>138</v>
      </c>
      <c r="E51" s="91" t="s">
        <v>715</v>
      </c>
      <c r="F51" s="90"/>
      <c r="G51" s="91" t="s">
        <v>101</v>
      </c>
      <c r="H51" s="91" t="s">
        <v>16</v>
      </c>
      <c r="I51" s="91" t="s">
        <v>44</v>
      </c>
      <c r="J51" s="91" t="s">
        <v>35</v>
      </c>
      <c r="K51" s="91" t="s">
        <v>179</v>
      </c>
      <c r="L51" s="92">
        <v>7</v>
      </c>
      <c r="M51" s="93">
        <v>5</v>
      </c>
      <c r="N51" s="94">
        <v>0</v>
      </c>
      <c r="O51" s="95">
        <v>2</v>
      </c>
      <c r="P51" s="96">
        <v>0</v>
      </c>
      <c r="Q51" s="97" t="s">
        <v>757</v>
      </c>
      <c r="R51" s="97">
        <v>32</v>
      </c>
      <c r="S51" s="98">
        <v>3</v>
      </c>
      <c r="T51" s="41">
        <v>15</v>
      </c>
      <c r="U51" s="40">
        <f t="shared" si="4"/>
        <v>10</v>
      </c>
      <c r="V51" s="482">
        <v>16</v>
      </c>
      <c r="W51" s="459"/>
    </row>
    <row r="52" spans="1:23" ht="15" customHeight="1" thickBot="1">
      <c r="A52" s="586"/>
      <c r="B52" s="99">
        <v>4</v>
      </c>
      <c r="C52" s="195" t="s">
        <v>235</v>
      </c>
      <c r="D52" s="117" t="s">
        <v>40</v>
      </c>
      <c r="E52" s="100" t="s">
        <v>65</v>
      </c>
      <c r="F52" s="100" t="s">
        <v>103</v>
      </c>
      <c r="G52" s="101"/>
      <c r="H52" s="100" t="s">
        <v>44</v>
      </c>
      <c r="I52" s="100" t="s">
        <v>37</v>
      </c>
      <c r="J52" s="100" t="s">
        <v>105</v>
      </c>
      <c r="K52" s="100" t="s">
        <v>61</v>
      </c>
      <c r="L52" s="102">
        <v>7</v>
      </c>
      <c r="M52" s="103">
        <v>2</v>
      </c>
      <c r="N52" s="104">
        <v>3</v>
      </c>
      <c r="O52" s="105">
        <v>2</v>
      </c>
      <c r="P52" s="106">
        <v>0</v>
      </c>
      <c r="Q52" s="107" t="s">
        <v>758</v>
      </c>
      <c r="R52" s="107">
        <v>30</v>
      </c>
      <c r="S52" s="108">
        <v>0</v>
      </c>
      <c r="T52" s="42">
        <v>9</v>
      </c>
      <c r="U52" s="42">
        <f t="shared" si="4"/>
        <v>7</v>
      </c>
      <c r="V52" s="485">
        <v>16</v>
      </c>
      <c r="W52" s="459"/>
    </row>
    <row r="53" spans="1:23" ht="15" customHeight="1" thickTop="1">
      <c r="A53" s="586"/>
      <c r="B53" s="78">
        <v>5</v>
      </c>
      <c r="C53" s="193" t="s">
        <v>759</v>
      </c>
      <c r="D53" s="109" t="s">
        <v>727</v>
      </c>
      <c r="E53" s="80" t="s">
        <v>37</v>
      </c>
      <c r="F53" s="80" t="s">
        <v>19</v>
      </c>
      <c r="G53" s="80" t="s">
        <v>747</v>
      </c>
      <c r="H53" s="110"/>
      <c r="I53" s="80" t="s">
        <v>16</v>
      </c>
      <c r="J53" s="80" t="s">
        <v>226</v>
      </c>
      <c r="K53" s="80" t="s">
        <v>760</v>
      </c>
      <c r="L53" s="81">
        <v>7</v>
      </c>
      <c r="M53" s="82">
        <v>2</v>
      </c>
      <c r="N53" s="83">
        <v>2</v>
      </c>
      <c r="O53" s="84">
        <v>3</v>
      </c>
      <c r="P53" s="111">
        <v>0</v>
      </c>
      <c r="Q53" s="86" t="s">
        <v>757</v>
      </c>
      <c r="R53" s="86">
        <v>32</v>
      </c>
      <c r="S53" s="87">
        <v>3</v>
      </c>
      <c r="T53" s="40">
        <v>8</v>
      </c>
      <c r="U53" s="40">
        <f t="shared" si="4"/>
        <v>6</v>
      </c>
      <c r="V53" s="482">
        <v>23</v>
      </c>
      <c r="W53" s="459"/>
    </row>
    <row r="54" spans="1:23" ht="15.75" customHeight="1">
      <c r="A54" s="586"/>
      <c r="B54" s="88">
        <v>6</v>
      </c>
      <c r="C54" s="194" t="s">
        <v>303</v>
      </c>
      <c r="D54" s="89" t="s">
        <v>272</v>
      </c>
      <c r="E54" s="91" t="s">
        <v>135</v>
      </c>
      <c r="F54" s="91" t="s">
        <v>747</v>
      </c>
      <c r="G54" s="91" t="s">
        <v>37</v>
      </c>
      <c r="H54" s="91" t="s">
        <v>19</v>
      </c>
      <c r="I54" s="90"/>
      <c r="J54" s="91" t="s">
        <v>61</v>
      </c>
      <c r="K54" s="91" t="s">
        <v>26</v>
      </c>
      <c r="L54" s="92">
        <v>7</v>
      </c>
      <c r="M54" s="93">
        <v>1</v>
      </c>
      <c r="N54" s="94">
        <v>2</v>
      </c>
      <c r="O54" s="95">
        <v>4</v>
      </c>
      <c r="P54" s="96">
        <v>0</v>
      </c>
      <c r="Q54" s="97" t="s">
        <v>761</v>
      </c>
      <c r="R54" s="97">
        <v>20</v>
      </c>
      <c r="S54" s="98">
        <v>-7</v>
      </c>
      <c r="T54" s="41">
        <v>5</v>
      </c>
      <c r="U54" s="41">
        <f t="shared" si="4"/>
        <v>4</v>
      </c>
      <c r="V54" s="482">
        <v>28</v>
      </c>
      <c r="W54" s="459"/>
    </row>
    <row r="55" spans="1:23" ht="15">
      <c r="A55" s="586"/>
      <c r="B55" s="88">
        <v>7</v>
      </c>
      <c r="C55" s="194" t="s">
        <v>308</v>
      </c>
      <c r="D55" s="89" t="s">
        <v>269</v>
      </c>
      <c r="E55" s="91" t="s">
        <v>747</v>
      </c>
      <c r="F55" s="91" t="s">
        <v>717</v>
      </c>
      <c r="G55" s="91" t="s">
        <v>106</v>
      </c>
      <c r="H55" s="91" t="s">
        <v>226</v>
      </c>
      <c r="I55" s="91" t="s">
        <v>61</v>
      </c>
      <c r="J55" s="90"/>
      <c r="K55" s="91" t="s">
        <v>61</v>
      </c>
      <c r="L55" s="92">
        <v>7</v>
      </c>
      <c r="M55" s="93">
        <v>0</v>
      </c>
      <c r="N55" s="94">
        <v>3</v>
      </c>
      <c r="O55" s="95">
        <v>4</v>
      </c>
      <c r="P55" s="96">
        <v>0</v>
      </c>
      <c r="Q55" s="97" t="s">
        <v>762</v>
      </c>
      <c r="R55" s="97">
        <v>26</v>
      </c>
      <c r="S55" s="98">
        <v>-10</v>
      </c>
      <c r="T55" s="41">
        <v>3</v>
      </c>
      <c r="U55" s="41">
        <f t="shared" si="4"/>
        <v>3</v>
      </c>
      <c r="V55" s="482">
        <v>29</v>
      </c>
      <c r="W55" s="459"/>
    </row>
    <row r="56" spans="1:28" s="190" customFormat="1" ht="15.75" thickBot="1">
      <c r="A56" s="586"/>
      <c r="B56" s="88">
        <v>8</v>
      </c>
      <c r="C56" s="194" t="s">
        <v>34</v>
      </c>
      <c r="D56" s="89" t="s">
        <v>763</v>
      </c>
      <c r="E56" s="91" t="s">
        <v>727</v>
      </c>
      <c r="F56" s="91" t="s">
        <v>177</v>
      </c>
      <c r="G56" s="91" t="s">
        <v>61</v>
      </c>
      <c r="H56" s="91" t="s">
        <v>764</v>
      </c>
      <c r="I56" s="91" t="s">
        <v>719</v>
      </c>
      <c r="J56" s="91" t="s">
        <v>61</v>
      </c>
      <c r="K56" s="90"/>
      <c r="L56" s="92">
        <v>7</v>
      </c>
      <c r="M56" s="93">
        <v>0</v>
      </c>
      <c r="N56" s="94">
        <v>2</v>
      </c>
      <c r="O56" s="95">
        <v>5</v>
      </c>
      <c r="P56" s="96">
        <v>0</v>
      </c>
      <c r="Q56" s="97" t="s">
        <v>765</v>
      </c>
      <c r="R56" s="97">
        <v>22</v>
      </c>
      <c r="S56" s="98">
        <v>-19</v>
      </c>
      <c r="T56" s="41">
        <v>2</v>
      </c>
      <c r="U56" s="41">
        <f t="shared" si="4"/>
        <v>2</v>
      </c>
      <c r="V56" s="483">
        <v>31</v>
      </c>
      <c r="W56" s="459"/>
      <c r="AB56" s="461"/>
    </row>
    <row r="57" s="190" customFormat="1" ht="15">
      <c r="AB57" s="461"/>
    </row>
    <row r="58" s="199" customFormat="1" ht="15.75" customHeight="1" thickBot="1">
      <c r="O58" s="199" t="s">
        <v>223</v>
      </c>
    </row>
    <row r="59" spans="2:29" s="199" customFormat="1" ht="15.75" customHeight="1" thickBot="1">
      <c r="B59" s="200" t="s">
        <v>181</v>
      </c>
      <c r="C59" s="201" t="s">
        <v>182</v>
      </c>
      <c r="D59" s="202" t="s">
        <v>0</v>
      </c>
      <c r="E59" s="201" t="s">
        <v>183</v>
      </c>
      <c r="F59" s="596" t="s">
        <v>184</v>
      </c>
      <c r="G59" s="597"/>
      <c r="H59" s="598"/>
      <c r="I59" s="596" t="s">
        <v>185</v>
      </c>
      <c r="J59" s="597"/>
      <c r="K59" s="598"/>
      <c r="L59" s="203" t="s">
        <v>186</v>
      </c>
      <c r="M59" s="204"/>
      <c r="N59" s="204"/>
      <c r="O59" s="205" t="s">
        <v>0</v>
      </c>
      <c r="P59" s="599" t="s">
        <v>1</v>
      </c>
      <c r="Q59" s="600"/>
      <c r="R59" s="601"/>
      <c r="S59" s="206" t="s">
        <v>2</v>
      </c>
      <c r="T59" s="200" t="s">
        <v>3</v>
      </c>
      <c r="U59" s="201" t="s">
        <v>4</v>
      </c>
      <c r="V59" s="207" t="s">
        <v>5</v>
      </c>
      <c r="W59" s="208" t="s">
        <v>6</v>
      </c>
      <c r="X59" s="208" t="s">
        <v>7</v>
      </c>
      <c r="Y59" s="209" t="s">
        <v>222</v>
      </c>
      <c r="Z59" s="207" t="s">
        <v>8</v>
      </c>
      <c r="AA59" s="210" t="s">
        <v>9</v>
      </c>
      <c r="AB59" s="210" t="s">
        <v>652</v>
      </c>
      <c r="AC59" s="210" t="s">
        <v>773</v>
      </c>
    </row>
    <row r="60" spans="2:29" s="199" customFormat="1" ht="15.75" customHeight="1" thickBot="1">
      <c r="B60" s="211"/>
      <c r="C60" s="212" t="s">
        <v>187</v>
      </c>
      <c r="D60" s="212">
        <v>1</v>
      </c>
      <c r="E60" s="225" t="s">
        <v>330</v>
      </c>
      <c r="F60" s="501" t="str">
        <f>C19</f>
        <v>АФК-Кузбасс</v>
      </c>
      <c r="G60" s="251"/>
      <c r="H60" s="475"/>
      <c r="I60" s="233" t="str">
        <f>C52</f>
        <v>Красно-Белый Израиль (КБИ)</v>
      </c>
      <c r="J60" s="251"/>
      <c r="K60" s="252"/>
      <c r="L60" s="226" t="s">
        <v>37</v>
      </c>
      <c r="M60" s="204"/>
      <c r="N60" s="204"/>
      <c r="O60" s="213">
        <v>1</v>
      </c>
      <c r="P60" s="260" t="s">
        <v>322</v>
      </c>
      <c r="Q60" s="261"/>
      <c r="R60" s="262"/>
      <c r="S60" s="214">
        <f aca="true" t="shared" si="5" ref="S60:S75">SUM(T60:W60)</f>
        <v>4</v>
      </c>
      <c r="T60" s="214">
        <v>3</v>
      </c>
      <c r="U60" s="214">
        <v>1</v>
      </c>
      <c r="V60" s="214"/>
      <c r="W60" s="214"/>
      <c r="X60" s="214">
        <v>25</v>
      </c>
      <c r="Y60" s="214">
        <v>5</v>
      </c>
      <c r="Z60" s="214">
        <f aca="true" t="shared" si="6" ref="Z60:Z75">X60-Y60</f>
        <v>20</v>
      </c>
      <c r="AA60" s="215">
        <f aca="true" t="shared" si="7" ref="AA60:AA75">T60*3+U60</f>
        <v>10</v>
      </c>
      <c r="AB60" s="215">
        <f aca="true" t="shared" si="8" ref="AB60:AB75">T60*2+U60</f>
        <v>7</v>
      </c>
      <c r="AC60" s="215">
        <v>1</v>
      </c>
    </row>
    <row r="61" spans="2:29" s="199" customFormat="1" ht="15" customHeight="1" thickBot="1">
      <c r="B61" s="216"/>
      <c r="C61" s="217" t="s">
        <v>187</v>
      </c>
      <c r="D61" s="217">
        <v>2</v>
      </c>
      <c r="E61" s="227" t="s">
        <v>335</v>
      </c>
      <c r="F61" s="502" t="str">
        <f>C49</f>
        <v>Профессионалы прогноза</v>
      </c>
      <c r="G61" s="253"/>
      <c r="H61" s="476"/>
      <c r="I61" s="236" t="str">
        <f>C22</f>
        <v>Kanonir.Com</v>
      </c>
      <c r="J61" s="253"/>
      <c r="K61" s="254"/>
      <c r="L61" s="228" t="s">
        <v>270</v>
      </c>
      <c r="M61" s="204"/>
      <c r="N61" s="204"/>
      <c r="O61" s="218">
        <v>2</v>
      </c>
      <c r="P61" s="260" t="s">
        <v>325</v>
      </c>
      <c r="Q61" s="261"/>
      <c r="R61" s="262"/>
      <c r="S61" s="128">
        <f t="shared" si="5"/>
        <v>4</v>
      </c>
      <c r="T61" s="128">
        <v>3</v>
      </c>
      <c r="U61" s="128"/>
      <c r="V61" s="128">
        <v>1</v>
      </c>
      <c r="W61" s="128"/>
      <c r="X61" s="128">
        <v>14</v>
      </c>
      <c r="Y61" s="128">
        <v>15</v>
      </c>
      <c r="Z61" s="214">
        <f t="shared" si="6"/>
        <v>-1</v>
      </c>
      <c r="AA61" s="215">
        <f t="shared" si="7"/>
        <v>9</v>
      </c>
      <c r="AB61" s="215">
        <f t="shared" si="8"/>
        <v>6</v>
      </c>
      <c r="AC61" s="215">
        <v>2</v>
      </c>
    </row>
    <row r="62" spans="2:29" s="199" customFormat="1" ht="15.75" customHeight="1" thickBot="1">
      <c r="B62" s="216"/>
      <c r="C62" s="217" t="s">
        <v>187</v>
      </c>
      <c r="D62" s="217">
        <v>3</v>
      </c>
      <c r="E62" s="227" t="s">
        <v>342</v>
      </c>
      <c r="F62" s="502" t="str">
        <f>C29</f>
        <v>Спартанцы IT </v>
      </c>
      <c r="G62" s="253"/>
      <c r="H62" s="476"/>
      <c r="I62" s="236" t="str">
        <f>C42</f>
        <v>ОЛФП Одесса</v>
      </c>
      <c r="J62" s="253"/>
      <c r="K62" s="254"/>
      <c r="L62" s="228" t="s">
        <v>60</v>
      </c>
      <c r="M62" s="204"/>
      <c r="N62" s="204"/>
      <c r="O62" s="218">
        <v>3</v>
      </c>
      <c r="P62" s="260" t="s">
        <v>238</v>
      </c>
      <c r="Q62" s="261"/>
      <c r="R62" s="262"/>
      <c r="S62" s="219">
        <f t="shared" si="5"/>
        <v>4</v>
      </c>
      <c r="T62" s="219">
        <v>3</v>
      </c>
      <c r="U62" s="219"/>
      <c r="V62" s="219">
        <v>1</v>
      </c>
      <c r="W62" s="219"/>
      <c r="X62" s="219">
        <v>16</v>
      </c>
      <c r="Y62" s="219">
        <v>10</v>
      </c>
      <c r="Z62" s="214">
        <f t="shared" si="6"/>
        <v>6</v>
      </c>
      <c r="AA62" s="215">
        <f t="shared" si="7"/>
        <v>9</v>
      </c>
      <c r="AB62" s="215">
        <f t="shared" si="8"/>
        <v>6</v>
      </c>
      <c r="AC62" s="215">
        <v>3</v>
      </c>
    </row>
    <row r="63" spans="2:29" s="199" customFormat="1" ht="15.75" customHeight="1" thickBot="1">
      <c r="B63" s="216"/>
      <c r="C63" s="217" t="s">
        <v>187</v>
      </c>
      <c r="D63" s="217">
        <v>4</v>
      </c>
      <c r="E63" s="227" t="s">
        <v>337</v>
      </c>
      <c r="F63" s="502" t="str">
        <f>C39</f>
        <v>PRED.SU</v>
      </c>
      <c r="G63" s="253"/>
      <c r="H63" s="476"/>
      <c r="I63" s="236" t="str">
        <f>C32</f>
        <v>PrimeGang</v>
      </c>
      <c r="J63" s="253"/>
      <c r="K63" s="254"/>
      <c r="L63" s="228" t="s">
        <v>131</v>
      </c>
      <c r="M63" s="204"/>
      <c r="N63" s="204"/>
      <c r="O63" s="218">
        <v>4</v>
      </c>
      <c r="P63" s="260" t="s">
        <v>120</v>
      </c>
      <c r="Q63" s="261"/>
      <c r="R63" s="262"/>
      <c r="S63" s="128">
        <f t="shared" si="5"/>
        <v>4</v>
      </c>
      <c r="T63" s="128">
        <v>2</v>
      </c>
      <c r="U63" s="128"/>
      <c r="V63" s="128">
        <v>1</v>
      </c>
      <c r="W63" s="128">
        <v>1</v>
      </c>
      <c r="X63" s="128">
        <v>9</v>
      </c>
      <c r="Y63" s="128">
        <v>8</v>
      </c>
      <c r="Z63" s="214">
        <f t="shared" si="6"/>
        <v>1</v>
      </c>
      <c r="AA63" s="215">
        <f t="shared" si="7"/>
        <v>6</v>
      </c>
      <c r="AB63" s="215">
        <f t="shared" si="8"/>
        <v>4</v>
      </c>
      <c r="AC63" s="215">
        <v>4</v>
      </c>
    </row>
    <row r="64" spans="2:29" s="199" customFormat="1" ht="15" customHeight="1" thickBot="1">
      <c r="B64" s="216"/>
      <c r="C64" s="217" t="s">
        <v>187</v>
      </c>
      <c r="D64" s="217">
        <v>5</v>
      </c>
      <c r="E64" s="227" t="s">
        <v>340</v>
      </c>
      <c r="F64" s="236" t="str">
        <f>C20</f>
        <v>КЛФП "Харьков"</v>
      </c>
      <c r="G64" s="253"/>
      <c r="H64" s="476"/>
      <c r="I64" s="502" t="str">
        <f>C51</f>
        <v>KUBAN.RU</v>
      </c>
      <c r="J64" s="253"/>
      <c r="K64" s="254"/>
      <c r="L64" s="228" t="s">
        <v>717</v>
      </c>
      <c r="M64" s="204"/>
      <c r="N64" s="204"/>
      <c r="O64" s="218">
        <v>5</v>
      </c>
      <c r="P64" s="260" t="s">
        <v>13</v>
      </c>
      <c r="Q64" s="261"/>
      <c r="R64" s="262"/>
      <c r="S64" s="128">
        <f t="shared" si="5"/>
        <v>2</v>
      </c>
      <c r="T64" s="128"/>
      <c r="U64" s="128">
        <v>1</v>
      </c>
      <c r="V64" s="128">
        <v>1</v>
      </c>
      <c r="W64" s="128"/>
      <c r="X64" s="128">
        <v>2</v>
      </c>
      <c r="Y64" s="128">
        <v>5</v>
      </c>
      <c r="Z64" s="214">
        <f t="shared" si="6"/>
        <v>-3</v>
      </c>
      <c r="AA64" s="215">
        <f t="shared" si="7"/>
        <v>1</v>
      </c>
      <c r="AB64" s="215">
        <f t="shared" si="8"/>
        <v>1</v>
      </c>
      <c r="AC64" s="503" t="s">
        <v>547</v>
      </c>
    </row>
    <row r="65" spans="2:29" s="199" customFormat="1" ht="15" customHeight="1" thickBot="1">
      <c r="B65" s="216"/>
      <c r="C65" s="217" t="s">
        <v>187</v>
      </c>
      <c r="D65" s="217">
        <v>6</v>
      </c>
      <c r="E65" s="227" t="s">
        <v>338</v>
      </c>
      <c r="F65" s="502" t="str">
        <f>C50</f>
        <v>SFP</v>
      </c>
      <c r="G65" s="253"/>
      <c r="H65" s="476"/>
      <c r="I65" s="236" t="str">
        <f>C21</f>
        <v>ФК Форвард</v>
      </c>
      <c r="J65" s="253"/>
      <c r="K65" s="254"/>
      <c r="L65" s="228" t="s">
        <v>26</v>
      </c>
      <c r="M65" s="204"/>
      <c r="N65" s="204"/>
      <c r="O65" s="218">
        <v>6</v>
      </c>
      <c r="P65" s="260" t="s">
        <v>306</v>
      </c>
      <c r="Q65" s="261"/>
      <c r="R65" s="262"/>
      <c r="S65" s="128">
        <f t="shared" si="5"/>
        <v>2</v>
      </c>
      <c r="T65" s="128">
        <v>1</v>
      </c>
      <c r="U65" s="128"/>
      <c r="V65" s="128">
        <v>1</v>
      </c>
      <c r="W65" s="128"/>
      <c r="X65" s="128">
        <v>5</v>
      </c>
      <c r="Y65" s="128">
        <v>9</v>
      </c>
      <c r="Z65" s="214">
        <f t="shared" si="6"/>
        <v>-4</v>
      </c>
      <c r="AA65" s="215">
        <f t="shared" si="7"/>
        <v>3</v>
      </c>
      <c r="AB65" s="215">
        <f t="shared" si="8"/>
        <v>2</v>
      </c>
      <c r="AC65" s="503" t="s">
        <v>547</v>
      </c>
    </row>
    <row r="66" spans="2:29" ht="15" customHeight="1" thickBot="1">
      <c r="B66" s="93"/>
      <c r="C66" s="94" t="s">
        <v>187</v>
      </c>
      <c r="D66" s="94">
        <v>7</v>
      </c>
      <c r="E66" s="227" t="s">
        <v>331</v>
      </c>
      <c r="F66" s="502" t="str">
        <f>C30</f>
        <v>Кедр</v>
      </c>
      <c r="G66" s="255"/>
      <c r="H66" s="477"/>
      <c r="I66" s="239" t="str">
        <f>C41</f>
        <v>VOON.RU</v>
      </c>
      <c r="J66" s="255"/>
      <c r="K66" s="256"/>
      <c r="L66" s="228" t="s">
        <v>37</v>
      </c>
      <c r="M66" s="190"/>
      <c r="N66" s="190"/>
      <c r="O66" s="129">
        <v>7</v>
      </c>
      <c r="P66" s="260" t="s">
        <v>124</v>
      </c>
      <c r="Q66" s="261"/>
      <c r="R66" s="262"/>
      <c r="S66" s="128">
        <f t="shared" si="5"/>
        <v>2</v>
      </c>
      <c r="T66" s="128">
        <v>1</v>
      </c>
      <c r="U66" s="128"/>
      <c r="V66" s="128">
        <v>1</v>
      </c>
      <c r="W66" s="128"/>
      <c r="X66" s="128">
        <v>10</v>
      </c>
      <c r="Y66" s="128">
        <v>9</v>
      </c>
      <c r="Z66" s="214">
        <f t="shared" si="6"/>
        <v>1</v>
      </c>
      <c r="AA66" s="215">
        <f t="shared" si="7"/>
        <v>3</v>
      </c>
      <c r="AB66" s="215">
        <f t="shared" si="8"/>
        <v>2</v>
      </c>
      <c r="AC66" s="503" t="s">
        <v>547</v>
      </c>
    </row>
    <row r="67" spans="2:29" ht="15" customHeight="1" thickBot="1">
      <c r="B67" s="93"/>
      <c r="C67" s="94" t="s">
        <v>187</v>
      </c>
      <c r="D67" s="94">
        <v>8</v>
      </c>
      <c r="E67" s="227" t="s">
        <v>334</v>
      </c>
      <c r="F67" s="502" t="str">
        <f>C40</f>
        <v>SEclub.org</v>
      </c>
      <c r="G67" s="255"/>
      <c r="H67" s="477"/>
      <c r="I67" s="239" t="str">
        <f>C31</f>
        <v>KFP.RU</v>
      </c>
      <c r="J67" s="255"/>
      <c r="K67" s="256"/>
      <c r="L67" s="228" t="s">
        <v>105</v>
      </c>
      <c r="M67" s="190"/>
      <c r="N67" s="190"/>
      <c r="O67" s="129">
        <v>8</v>
      </c>
      <c r="P67" s="260" t="s">
        <v>323</v>
      </c>
      <c r="Q67" s="261"/>
      <c r="R67" s="262"/>
      <c r="S67" s="128">
        <f t="shared" si="5"/>
        <v>2</v>
      </c>
      <c r="T67" s="128">
        <v>1</v>
      </c>
      <c r="U67" s="128"/>
      <c r="V67" s="128">
        <v>1</v>
      </c>
      <c r="W67" s="128"/>
      <c r="X67" s="128">
        <v>8</v>
      </c>
      <c r="Y67" s="128">
        <v>9</v>
      </c>
      <c r="Z67" s="214">
        <f t="shared" si="6"/>
        <v>-1</v>
      </c>
      <c r="AA67" s="215">
        <f t="shared" si="7"/>
        <v>3</v>
      </c>
      <c r="AB67" s="215">
        <f t="shared" si="8"/>
        <v>2</v>
      </c>
      <c r="AC67" s="503" t="s">
        <v>547</v>
      </c>
    </row>
    <row r="68" spans="2:29" ht="15.75" customHeight="1" thickBot="1">
      <c r="B68" s="120"/>
      <c r="C68" s="121" t="s">
        <v>190</v>
      </c>
      <c r="D68" s="121">
        <v>9</v>
      </c>
      <c r="E68" s="225" t="s">
        <v>767</v>
      </c>
      <c r="F68" s="587" t="str">
        <f>F60</f>
        <v>АФК-Кузбасс</v>
      </c>
      <c r="G68" s="588"/>
      <c r="H68" s="589"/>
      <c r="I68" s="524" t="str">
        <f>F67</f>
        <v>SEclub.org</v>
      </c>
      <c r="J68" s="270"/>
      <c r="K68" s="271"/>
      <c r="L68" s="226" t="s">
        <v>272</v>
      </c>
      <c r="M68" s="190"/>
      <c r="N68" s="190"/>
      <c r="O68" s="129">
        <v>9</v>
      </c>
      <c r="P68" s="260" t="s">
        <v>302</v>
      </c>
      <c r="Q68" s="261"/>
      <c r="R68" s="262"/>
      <c r="S68" s="219">
        <f t="shared" si="5"/>
        <v>1</v>
      </c>
      <c r="T68" s="219"/>
      <c r="U68" s="219"/>
      <c r="V68" s="219">
        <v>1</v>
      </c>
      <c r="W68" s="219"/>
      <c r="X68" s="219">
        <v>3</v>
      </c>
      <c r="Y68" s="219">
        <v>6</v>
      </c>
      <c r="Z68" s="214">
        <f t="shared" si="6"/>
        <v>-3</v>
      </c>
      <c r="AA68" s="215">
        <f t="shared" si="7"/>
        <v>0</v>
      </c>
      <c r="AB68" s="215">
        <f t="shared" si="8"/>
        <v>0</v>
      </c>
      <c r="AC68" s="503" t="s">
        <v>774</v>
      </c>
    </row>
    <row r="69" spans="2:29" ht="15.75" thickBot="1">
      <c r="B69" s="93"/>
      <c r="C69" s="94" t="s">
        <v>190</v>
      </c>
      <c r="D69" s="94">
        <v>10</v>
      </c>
      <c r="E69" s="227" t="s">
        <v>768</v>
      </c>
      <c r="F69" s="590" t="str">
        <f>F61</f>
        <v>Профессионалы прогноза</v>
      </c>
      <c r="G69" s="591"/>
      <c r="H69" s="592"/>
      <c r="I69" s="525" t="str">
        <f>F66</f>
        <v>Кедр</v>
      </c>
      <c r="J69" s="272"/>
      <c r="K69" s="273"/>
      <c r="L69" s="228" t="s">
        <v>732</v>
      </c>
      <c r="M69" s="190"/>
      <c r="N69" s="190"/>
      <c r="O69" s="129">
        <v>10</v>
      </c>
      <c r="P69" s="260" t="s">
        <v>235</v>
      </c>
      <c r="Q69" s="261"/>
      <c r="R69" s="262"/>
      <c r="S69" s="128">
        <f t="shared" si="5"/>
        <v>1</v>
      </c>
      <c r="T69" s="128"/>
      <c r="U69" s="128">
        <v>1</v>
      </c>
      <c r="V69" s="128"/>
      <c r="W69" s="128"/>
      <c r="X69" s="128">
        <v>2</v>
      </c>
      <c r="Y69" s="128">
        <v>2</v>
      </c>
      <c r="Z69" s="214">
        <f t="shared" si="6"/>
        <v>0</v>
      </c>
      <c r="AA69" s="215">
        <f t="shared" si="7"/>
        <v>1</v>
      </c>
      <c r="AB69" s="215">
        <f t="shared" si="8"/>
        <v>1</v>
      </c>
      <c r="AC69" s="503" t="s">
        <v>774</v>
      </c>
    </row>
    <row r="70" spans="2:29" ht="15.75" thickBot="1">
      <c r="B70" s="93"/>
      <c r="C70" s="94" t="s">
        <v>190</v>
      </c>
      <c r="D70" s="94">
        <v>11</v>
      </c>
      <c r="E70" s="227" t="s">
        <v>769</v>
      </c>
      <c r="F70" s="526" t="str">
        <f>F62</f>
        <v>Спартанцы IT </v>
      </c>
      <c r="G70" s="268"/>
      <c r="H70" s="268"/>
      <c r="I70" s="500" t="str">
        <f>F65</f>
        <v>SFP</v>
      </c>
      <c r="J70" s="272"/>
      <c r="K70" s="273"/>
      <c r="L70" s="228" t="s">
        <v>749</v>
      </c>
      <c r="M70" s="190"/>
      <c r="N70" s="190"/>
      <c r="O70" s="129">
        <v>11</v>
      </c>
      <c r="P70" s="260" t="s">
        <v>118</v>
      </c>
      <c r="Q70" s="261"/>
      <c r="R70" s="262"/>
      <c r="S70" s="128">
        <f t="shared" si="5"/>
        <v>1</v>
      </c>
      <c r="T70" s="128"/>
      <c r="U70" s="128"/>
      <c r="V70" s="128">
        <v>1</v>
      </c>
      <c r="W70" s="128"/>
      <c r="X70" s="128">
        <v>1</v>
      </c>
      <c r="Y70" s="128">
        <v>5</v>
      </c>
      <c r="Z70" s="214">
        <f t="shared" si="6"/>
        <v>-4</v>
      </c>
      <c r="AA70" s="215">
        <f t="shared" si="7"/>
        <v>0</v>
      </c>
      <c r="AB70" s="215">
        <f t="shared" si="8"/>
        <v>0</v>
      </c>
      <c r="AC70" s="503" t="s">
        <v>774</v>
      </c>
    </row>
    <row r="71" spans="2:29" ht="15" customHeight="1" thickBot="1">
      <c r="B71" s="93"/>
      <c r="C71" s="94" t="s">
        <v>190</v>
      </c>
      <c r="D71" s="94">
        <v>12</v>
      </c>
      <c r="E71" s="227" t="s">
        <v>770</v>
      </c>
      <c r="F71" s="526" t="str">
        <f>F63</f>
        <v>PRED.SU</v>
      </c>
      <c r="G71" s="268"/>
      <c r="H71" s="268"/>
      <c r="I71" s="500" t="str">
        <f>I64</f>
        <v>KUBAN.RU</v>
      </c>
      <c r="J71" s="272"/>
      <c r="K71" s="273"/>
      <c r="L71" s="228" t="s">
        <v>709</v>
      </c>
      <c r="M71" s="190"/>
      <c r="N71" s="190"/>
      <c r="O71" s="129">
        <v>12</v>
      </c>
      <c r="P71" s="260" t="s">
        <v>315</v>
      </c>
      <c r="Q71" s="261"/>
      <c r="R71" s="262"/>
      <c r="S71" s="128">
        <f t="shared" si="5"/>
        <v>1</v>
      </c>
      <c r="T71" s="128"/>
      <c r="U71" s="128"/>
      <c r="V71" s="128">
        <v>1</v>
      </c>
      <c r="W71" s="128"/>
      <c r="X71" s="128">
        <v>0</v>
      </c>
      <c r="Y71" s="128">
        <v>5</v>
      </c>
      <c r="Z71" s="214">
        <f t="shared" si="6"/>
        <v>-5</v>
      </c>
      <c r="AA71" s="215">
        <f t="shared" si="7"/>
        <v>0</v>
      </c>
      <c r="AB71" s="215">
        <f t="shared" si="8"/>
        <v>0</v>
      </c>
      <c r="AC71" s="503" t="s">
        <v>774</v>
      </c>
    </row>
    <row r="72" spans="2:29" ht="15" customHeight="1" thickBot="1">
      <c r="B72" s="93"/>
      <c r="C72" s="120" t="s">
        <v>196</v>
      </c>
      <c r="D72" s="121">
        <v>13</v>
      </c>
      <c r="E72" s="225" t="s">
        <v>856</v>
      </c>
      <c r="F72" s="527" t="str">
        <f>I68</f>
        <v>SEclub.org</v>
      </c>
      <c r="G72" s="270"/>
      <c r="H72" s="271"/>
      <c r="I72" s="524" t="str">
        <f>F70</f>
        <v>Спартанцы IT </v>
      </c>
      <c r="J72" s="270"/>
      <c r="K72" s="271"/>
      <c r="L72" s="228" t="s">
        <v>135</v>
      </c>
      <c r="M72" s="190"/>
      <c r="N72" s="190"/>
      <c r="O72" s="129">
        <v>13</v>
      </c>
      <c r="P72" s="260" t="s">
        <v>52</v>
      </c>
      <c r="Q72" s="261"/>
      <c r="R72" s="262"/>
      <c r="S72" s="128">
        <f t="shared" si="5"/>
        <v>1</v>
      </c>
      <c r="T72" s="128"/>
      <c r="U72" s="128"/>
      <c r="V72" s="128">
        <v>1</v>
      </c>
      <c r="W72" s="128"/>
      <c r="X72" s="128">
        <v>1</v>
      </c>
      <c r="Y72" s="128">
        <v>4</v>
      </c>
      <c r="Z72" s="214">
        <f t="shared" si="6"/>
        <v>-3</v>
      </c>
      <c r="AA72" s="215">
        <f t="shared" si="7"/>
        <v>0</v>
      </c>
      <c r="AB72" s="215">
        <f t="shared" si="8"/>
        <v>0</v>
      </c>
      <c r="AC72" s="503" t="s">
        <v>774</v>
      </c>
    </row>
    <row r="73" spans="2:29" ht="15" customHeight="1" thickBot="1">
      <c r="B73" s="93"/>
      <c r="C73" s="93" t="s">
        <v>196</v>
      </c>
      <c r="D73" s="94">
        <v>14</v>
      </c>
      <c r="E73" s="227" t="s">
        <v>857</v>
      </c>
      <c r="F73" s="526" t="str">
        <f>I69</f>
        <v>Кедр</v>
      </c>
      <c r="G73" s="272"/>
      <c r="H73" s="273"/>
      <c r="I73" s="500" t="str">
        <f>F71</f>
        <v>PRED.SU</v>
      </c>
      <c r="J73" s="272"/>
      <c r="K73" s="273"/>
      <c r="L73" s="228" t="s">
        <v>44</v>
      </c>
      <c r="M73" s="126"/>
      <c r="N73" s="190"/>
      <c r="O73" s="129">
        <v>14</v>
      </c>
      <c r="P73" s="260" t="s">
        <v>311</v>
      </c>
      <c r="Q73" s="261"/>
      <c r="R73" s="262"/>
      <c r="S73" s="128">
        <f t="shared" si="5"/>
        <v>1</v>
      </c>
      <c r="T73" s="128"/>
      <c r="U73" s="128"/>
      <c r="V73" s="128">
        <v>1</v>
      </c>
      <c r="W73" s="128"/>
      <c r="X73" s="128">
        <v>3</v>
      </c>
      <c r="Y73" s="128">
        <v>5</v>
      </c>
      <c r="Z73" s="214">
        <f t="shared" si="6"/>
        <v>-2</v>
      </c>
      <c r="AA73" s="215">
        <f t="shared" si="7"/>
        <v>0</v>
      </c>
      <c r="AB73" s="215">
        <f t="shared" si="8"/>
        <v>0</v>
      </c>
      <c r="AC73" s="503" t="s">
        <v>774</v>
      </c>
    </row>
    <row r="74" spans="2:29" ht="15.75" customHeight="1" thickBot="1">
      <c r="B74" s="93"/>
      <c r="C74" s="120" t="s">
        <v>229</v>
      </c>
      <c r="D74" s="121">
        <v>15</v>
      </c>
      <c r="E74" s="225" t="s">
        <v>229</v>
      </c>
      <c r="F74" s="527" t="str">
        <f>I72</f>
        <v>Спартанцы IT </v>
      </c>
      <c r="G74" s="270"/>
      <c r="H74" s="271"/>
      <c r="I74" s="499" t="str">
        <f>F73</f>
        <v>Кедр</v>
      </c>
      <c r="J74" s="270"/>
      <c r="K74" s="271"/>
      <c r="L74" s="226" t="s">
        <v>732</v>
      </c>
      <c r="M74" s="190"/>
      <c r="N74" s="190"/>
      <c r="O74" s="129">
        <v>15</v>
      </c>
      <c r="P74" s="260" t="s">
        <v>15</v>
      </c>
      <c r="Q74" s="261"/>
      <c r="R74" s="262"/>
      <c r="S74" s="219">
        <f t="shared" si="5"/>
        <v>1</v>
      </c>
      <c r="T74" s="219"/>
      <c r="U74" s="219">
        <v>1</v>
      </c>
      <c r="V74" s="219"/>
      <c r="W74" s="219"/>
      <c r="X74" s="219">
        <v>2</v>
      </c>
      <c r="Y74" s="219">
        <v>2</v>
      </c>
      <c r="Z74" s="214">
        <f t="shared" si="6"/>
        <v>0</v>
      </c>
      <c r="AA74" s="215">
        <f t="shared" si="7"/>
        <v>1</v>
      </c>
      <c r="AB74" s="215">
        <f t="shared" si="8"/>
        <v>1</v>
      </c>
      <c r="AC74" s="503" t="s">
        <v>774</v>
      </c>
    </row>
    <row r="75" spans="2:29" ht="15.75" customHeight="1">
      <c r="B75" s="93"/>
      <c r="C75" s="120" t="s">
        <v>855</v>
      </c>
      <c r="D75" s="94">
        <v>16</v>
      </c>
      <c r="E75" s="229" t="s">
        <v>855</v>
      </c>
      <c r="F75" s="593" t="str">
        <f>F72</f>
        <v>SEclub.org</v>
      </c>
      <c r="G75" s="594"/>
      <c r="H75" s="595"/>
      <c r="I75" s="528" t="str">
        <f>I73</f>
        <v>PRED.SU</v>
      </c>
      <c r="J75" s="274"/>
      <c r="K75" s="275"/>
      <c r="L75" s="228" t="s">
        <v>22</v>
      </c>
      <c r="M75" s="190"/>
      <c r="N75" s="190"/>
      <c r="O75" s="129">
        <v>16</v>
      </c>
      <c r="P75" s="260" t="s">
        <v>29</v>
      </c>
      <c r="Q75" s="261"/>
      <c r="R75" s="262"/>
      <c r="S75" s="128">
        <f t="shared" si="5"/>
        <v>1</v>
      </c>
      <c r="T75" s="128"/>
      <c r="U75" s="128"/>
      <c r="V75" s="128">
        <v>1</v>
      </c>
      <c r="W75" s="128"/>
      <c r="X75" s="128">
        <v>2</v>
      </c>
      <c r="Y75" s="128">
        <v>4</v>
      </c>
      <c r="Z75" s="214">
        <f t="shared" si="6"/>
        <v>-2</v>
      </c>
      <c r="AA75" s="215">
        <f t="shared" si="7"/>
        <v>0</v>
      </c>
      <c r="AB75" s="215">
        <f t="shared" si="8"/>
        <v>0</v>
      </c>
      <c r="AC75" s="503" t="s">
        <v>774</v>
      </c>
    </row>
  </sheetData>
  <sheetProtection/>
  <mergeCells count="12">
    <mergeCell ref="F75:H75"/>
    <mergeCell ref="I59:K59"/>
    <mergeCell ref="P59:R59"/>
    <mergeCell ref="E2:F2"/>
    <mergeCell ref="H2:I2"/>
    <mergeCell ref="F59:H59"/>
    <mergeCell ref="A19:A26"/>
    <mergeCell ref="A29:A36"/>
    <mergeCell ref="A39:A46"/>
    <mergeCell ref="A49:A56"/>
    <mergeCell ref="F68:H68"/>
    <mergeCell ref="F69:H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Z93"/>
  <sheetViews>
    <sheetView zoomScalePageLayoutView="0" workbookViewId="0" topLeftCell="A68">
      <selection activeCell="K82" sqref="K82"/>
    </sheetView>
  </sheetViews>
  <sheetFormatPr defaultColWidth="9.140625" defaultRowHeight="15"/>
  <cols>
    <col min="1" max="1" width="9.140625" style="180" customWidth="1"/>
    <col min="2" max="2" width="5.00390625" style="183" customWidth="1"/>
    <col min="3" max="3" width="45.7109375" style="180" customWidth="1"/>
    <col min="4" max="11" width="9.140625" style="180" customWidth="1"/>
    <col min="12" max="13" width="9.140625" style="182" customWidth="1"/>
    <col min="14" max="17" width="9.140625" style="183" customWidth="1"/>
    <col min="18" max="18" width="9.140625" style="265" customWidth="1"/>
    <col min="19" max="19" width="9.140625" style="183" customWidth="1"/>
    <col min="20" max="20" width="11.421875" style="183" customWidth="1"/>
    <col min="21" max="22" width="9.140625" style="183" customWidth="1"/>
    <col min="23" max="23" width="9.140625" style="180" customWidth="1"/>
    <col min="24" max="24" width="10.28125" style="220" bestFit="1" customWidth="1"/>
    <col min="25" max="16384" width="9.140625" style="180" customWidth="1"/>
  </cols>
  <sheetData>
    <row r="1" ht="15" customHeight="1">
      <c r="C1" s="181" t="s">
        <v>844</v>
      </c>
    </row>
    <row r="2" spans="3:9" ht="15" customHeight="1">
      <c r="C2" s="184" t="s">
        <v>53</v>
      </c>
      <c r="D2" s="183" t="s">
        <v>54</v>
      </c>
      <c r="E2" s="604"/>
      <c r="F2" s="604"/>
      <c r="G2" s="183" t="s">
        <v>55</v>
      </c>
      <c r="H2" s="604"/>
      <c r="I2" s="604"/>
    </row>
    <row r="3" spans="3:18" ht="15.75">
      <c r="C3" s="185" t="s">
        <v>56</v>
      </c>
      <c r="D3" s="186" t="s">
        <v>115</v>
      </c>
      <c r="E3" s="185"/>
      <c r="F3" s="185"/>
      <c r="G3" s="185"/>
      <c r="H3" s="185"/>
      <c r="I3" s="185"/>
      <c r="J3" s="185"/>
      <c r="K3" s="185"/>
      <c r="L3" s="186"/>
      <c r="M3" s="186"/>
      <c r="N3" s="187"/>
      <c r="O3" s="187"/>
      <c r="P3" s="187"/>
      <c r="Q3" s="188"/>
      <c r="R3" s="266"/>
    </row>
    <row r="5" spans="2:26" ht="15.75" customHeight="1">
      <c r="B5" s="523"/>
      <c r="C5" s="505" t="s">
        <v>108</v>
      </c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1"/>
      <c r="O5" s="505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1"/>
    </row>
    <row r="6" spans="2:26" ht="15">
      <c r="B6" s="506" t="s">
        <v>70</v>
      </c>
      <c r="C6" s="506" t="s">
        <v>71</v>
      </c>
      <c r="D6" s="189">
        <v>1</v>
      </c>
      <c r="E6" s="189">
        <v>2</v>
      </c>
      <c r="F6" s="189">
        <v>3</v>
      </c>
      <c r="G6" s="189">
        <v>4</v>
      </c>
      <c r="H6" s="189">
        <v>5</v>
      </c>
      <c r="I6" s="189">
        <v>6</v>
      </c>
      <c r="J6" s="189">
        <v>7</v>
      </c>
      <c r="K6" s="189">
        <v>8</v>
      </c>
      <c r="L6" s="189">
        <v>9</v>
      </c>
      <c r="M6" s="189">
        <v>10</v>
      </c>
      <c r="N6" s="506" t="s">
        <v>9</v>
      </c>
      <c r="O6" s="506" t="s">
        <v>2</v>
      </c>
      <c r="P6" s="506" t="s">
        <v>3</v>
      </c>
      <c r="Q6" s="506" t="s">
        <v>4</v>
      </c>
      <c r="R6" s="506" t="s">
        <v>5</v>
      </c>
      <c r="S6" s="506" t="s">
        <v>109</v>
      </c>
      <c r="T6" s="506" t="s">
        <v>8</v>
      </c>
      <c r="U6" s="506" t="s">
        <v>110</v>
      </c>
      <c r="V6" s="506" t="s">
        <v>111</v>
      </c>
      <c r="W6" s="512"/>
      <c r="X6" s="504"/>
      <c r="Y6" s="504"/>
      <c r="Z6" s="507"/>
    </row>
    <row r="7" spans="2:26" ht="15" customHeight="1">
      <c r="B7" s="521">
        <v>1</v>
      </c>
      <c r="C7" s="519" t="s">
        <v>301</v>
      </c>
      <c r="D7" s="52"/>
      <c r="E7" s="520" t="s">
        <v>162</v>
      </c>
      <c r="F7" s="520" t="s">
        <v>148</v>
      </c>
      <c r="G7" s="520" t="s">
        <v>141</v>
      </c>
      <c r="H7" s="520" t="s">
        <v>148</v>
      </c>
      <c r="I7" s="520" t="s">
        <v>145</v>
      </c>
      <c r="J7" s="520" t="s">
        <v>146</v>
      </c>
      <c r="K7" s="520" t="s">
        <v>142</v>
      </c>
      <c r="L7" s="520" t="s">
        <v>142</v>
      </c>
      <c r="M7" s="520" t="s">
        <v>145</v>
      </c>
      <c r="N7" s="521">
        <v>14</v>
      </c>
      <c r="O7" s="521">
        <v>9</v>
      </c>
      <c r="P7" s="521">
        <v>7</v>
      </c>
      <c r="Q7" s="521">
        <v>0</v>
      </c>
      <c r="R7" s="521">
        <v>2</v>
      </c>
      <c r="S7" s="521" t="s">
        <v>775</v>
      </c>
      <c r="T7" s="521" t="s">
        <v>281</v>
      </c>
      <c r="U7" s="521" t="s">
        <v>776</v>
      </c>
      <c r="V7" s="521" t="s">
        <v>275</v>
      </c>
      <c r="W7" s="521">
        <v>16</v>
      </c>
      <c r="X7" s="504"/>
      <c r="Z7" s="507"/>
    </row>
    <row r="8" spans="2:26" ht="15" customHeight="1">
      <c r="B8" s="521">
        <v>2</v>
      </c>
      <c r="C8" s="519" t="s">
        <v>123</v>
      </c>
      <c r="D8" s="520" t="s">
        <v>539</v>
      </c>
      <c r="E8" s="52"/>
      <c r="F8" s="520" t="s">
        <v>157</v>
      </c>
      <c r="G8" s="520" t="s">
        <v>145</v>
      </c>
      <c r="H8" s="520" t="s">
        <v>165</v>
      </c>
      <c r="I8" s="520" t="s">
        <v>146</v>
      </c>
      <c r="J8" s="520" t="s">
        <v>147</v>
      </c>
      <c r="K8" s="520" t="s">
        <v>146</v>
      </c>
      <c r="L8" s="520" t="s">
        <v>142</v>
      </c>
      <c r="M8" s="520" t="s">
        <v>149</v>
      </c>
      <c r="N8" s="521">
        <v>10</v>
      </c>
      <c r="O8" s="521">
        <v>9</v>
      </c>
      <c r="P8" s="521">
        <v>5</v>
      </c>
      <c r="Q8" s="521">
        <v>0</v>
      </c>
      <c r="R8" s="521">
        <v>4</v>
      </c>
      <c r="S8" s="521" t="s">
        <v>777</v>
      </c>
      <c r="T8" s="521" t="s">
        <v>293</v>
      </c>
      <c r="U8" s="521" t="s">
        <v>778</v>
      </c>
      <c r="V8" s="521" t="s">
        <v>275</v>
      </c>
      <c r="W8" s="521">
        <v>16</v>
      </c>
      <c r="X8" s="504"/>
      <c r="Z8" s="507"/>
    </row>
    <row r="9" spans="2:26" ht="15" customHeight="1">
      <c r="B9" s="521">
        <v>3</v>
      </c>
      <c r="C9" s="519" t="s">
        <v>28</v>
      </c>
      <c r="D9" s="520" t="s">
        <v>147</v>
      </c>
      <c r="E9" s="520" t="s">
        <v>156</v>
      </c>
      <c r="F9" s="52"/>
      <c r="G9" s="520" t="s">
        <v>142</v>
      </c>
      <c r="H9" s="520" t="s">
        <v>151</v>
      </c>
      <c r="I9" s="520" t="s">
        <v>140</v>
      </c>
      <c r="J9" s="520" t="s">
        <v>145</v>
      </c>
      <c r="K9" s="520" t="s">
        <v>150</v>
      </c>
      <c r="L9" s="520" t="s">
        <v>145</v>
      </c>
      <c r="M9" s="520" t="s">
        <v>142</v>
      </c>
      <c r="N9" s="521">
        <v>10</v>
      </c>
      <c r="O9" s="521">
        <v>9</v>
      </c>
      <c r="P9" s="521">
        <v>4</v>
      </c>
      <c r="Q9" s="521">
        <v>2</v>
      </c>
      <c r="R9" s="521">
        <v>3</v>
      </c>
      <c r="S9" s="521" t="s">
        <v>781</v>
      </c>
      <c r="T9" s="521" t="s">
        <v>782</v>
      </c>
      <c r="U9" s="521" t="s">
        <v>783</v>
      </c>
      <c r="V9" s="521" t="s">
        <v>275</v>
      </c>
      <c r="W9" s="521">
        <v>16</v>
      </c>
      <c r="X9" s="504"/>
      <c r="Z9" s="507"/>
    </row>
    <row r="10" spans="2:26" ht="15" customHeight="1">
      <c r="B10" s="522">
        <v>4</v>
      </c>
      <c r="C10" s="517" t="s">
        <v>121</v>
      </c>
      <c r="D10" s="518" t="s">
        <v>142</v>
      </c>
      <c r="E10" s="518" t="s">
        <v>146</v>
      </c>
      <c r="F10" s="518" t="s">
        <v>141</v>
      </c>
      <c r="G10" s="52"/>
      <c r="H10" s="518" t="s">
        <v>153</v>
      </c>
      <c r="I10" s="518" t="s">
        <v>148</v>
      </c>
      <c r="J10" s="518" t="s">
        <v>145</v>
      </c>
      <c r="K10" s="518" t="s">
        <v>148</v>
      </c>
      <c r="L10" s="518" t="s">
        <v>146</v>
      </c>
      <c r="M10" s="518" t="s">
        <v>167</v>
      </c>
      <c r="N10" s="522">
        <v>10</v>
      </c>
      <c r="O10" s="522">
        <v>9</v>
      </c>
      <c r="P10" s="522">
        <v>5</v>
      </c>
      <c r="Q10" s="522">
        <v>0</v>
      </c>
      <c r="R10" s="522">
        <v>4</v>
      </c>
      <c r="S10" s="522" t="s">
        <v>779</v>
      </c>
      <c r="T10" s="522" t="s">
        <v>276</v>
      </c>
      <c r="U10" s="522" t="s">
        <v>780</v>
      </c>
      <c r="V10" s="522" t="s">
        <v>275</v>
      </c>
      <c r="W10" s="522" t="s">
        <v>174</v>
      </c>
      <c r="X10" s="504"/>
      <c r="Z10" s="507"/>
    </row>
    <row r="11" spans="2:26" ht="15" customHeight="1">
      <c r="B11" s="522">
        <v>5</v>
      </c>
      <c r="C11" s="517" t="s">
        <v>671</v>
      </c>
      <c r="D11" s="518" t="s">
        <v>147</v>
      </c>
      <c r="E11" s="518" t="s">
        <v>166</v>
      </c>
      <c r="F11" s="518" t="s">
        <v>151</v>
      </c>
      <c r="G11" s="518" t="s">
        <v>152</v>
      </c>
      <c r="H11" s="52"/>
      <c r="I11" s="518" t="s">
        <v>140</v>
      </c>
      <c r="J11" s="518" t="s">
        <v>249</v>
      </c>
      <c r="K11" s="518" t="s">
        <v>140</v>
      </c>
      <c r="L11" s="518" t="s">
        <v>150</v>
      </c>
      <c r="M11" s="518" t="s">
        <v>162</v>
      </c>
      <c r="N11" s="522">
        <v>9</v>
      </c>
      <c r="O11" s="522">
        <v>9</v>
      </c>
      <c r="P11" s="522">
        <v>3</v>
      </c>
      <c r="Q11" s="522">
        <v>3</v>
      </c>
      <c r="R11" s="522">
        <v>3</v>
      </c>
      <c r="S11" s="522" t="s">
        <v>784</v>
      </c>
      <c r="T11" s="522" t="s">
        <v>292</v>
      </c>
      <c r="U11" s="522" t="s">
        <v>785</v>
      </c>
      <c r="V11" s="522" t="s">
        <v>275</v>
      </c>
      <c r="W11" s="522">
        <v>16</v>
      </c>
      <c r="X11" s="504"/>
      <c r="Z11" s="507"/>
    </row>
    <row r="12" spans="2:26" ht="15" customHeight="1">
      <c r="B12" s="513">
        <v>6</v>
      </c>
      <c r="C12" s="516" t="s">
        <v>308</v>
      </c>
      <c r="D12" s="53" t="s">
        <v>146</v>
      </c>
      <c r="E12" s="53" t="s">
        <v>145</v>
      </c>
      <c r="F12" s="53" t="s">
        <v>140</v>
      </c>
      <c r="G12" s="53" t="s">
        <v>147</v>
      </c>
      <c r="H12" s="53" t="s">
        <v>140</v>
      </c>
      <c r="I12" s="52"/>
      <c r="J12" s="53" t="s">
        <v>152</v>
      </c>
      <c r="K12" s="53" t="s">
        <v>536</v>
      </c>
      <c r="L12" s="53" t="s">
        <v>145</v>
      </c>
      <c r="M12" s="53" t="s">
        <v>146</v>
      </c>
      <c r="N12" s="513">
        <v>8</v>
      </c>
      <c r="O12" s="513">
        <v>9</v>
      </c>
      <c r="P12" s="513">
        <v>3</v>
      </c>
      <c r="Q12" s="513">
        <v>2</v>
      </c>
      <c r="R12" s="513">
        <v>4</v>
      </c>
      <c r="S12" s="513" t="s">
        <v>781</v>
      </c>
      <c r="T12" s="513" t="s">
        <v>782</v>
      </c>
      <c r="U12" s="513" t="s">
        <v>785</v>
      </c>
      <c r="V12" s="513" t="s">
        <v>275</v>
      </c>
      <c r="W12" s="513" t="s">
        <v>175</v>
      </c>
      <c r="X12" s="504"/>
      <c r="Z12" s="507"/>
    </row>
    <row r="13" spans="2:26" ht="15" customHeight="1">
      <c r="B13" s="513">
        <v>7</v>
      </c>
      <c r="C13" s="516" t="s">
        <v>232</v>
      </c>
      <c r="D13" s="53" t="s">
        <v>145</v>
      </c>
      <c r="E13" s="53" t="s">
        <v>148</v>
      </c>
      <c r="F13" s="53" t="s">
        <v>146</v>
      </c>
      <c r="G13" s="53" t="s">
        <v>146</v>
      </c>
      <c r="H13" s="53" t="s">
        <v>250</v>
      </c>
      <c r="I13" s="53" t="s">
        <v>153</v>
      </c>
      <c r="J13" s="52"/>
      <c r="K13" s="53" t="s">
        <v>152</v>
      </c>
      <c r="L13" s="53" t="s">
        <v>144</v>
      </c>
      <c r="M13" s="53" t="s">
        <v>148</v>
      </c>
      <c r="N13" s="513">
        <v>8</v>
      </c>
      <c r="O13" s="513">
        <v>9</v>
      </c>
      <c r="P13" s="513">
        <v>4</v>
      </c>
      <c r="Q13" s="513">
        <v>0</v>
      </c>
      <c r="R13" s="513">
        <v>5</v>
      </c>
      <c r="S13" s="513" t="s">
        <v>786</v>
      </c>
      <c r="T13" s="513" t="s">
        <v>285</v>
      </c>
      <c r="U13" s="513" t="s">
        <v>783</v>
      </c>
      <c r="V13" s="513" t="s">
        <v>275</v>
      </c>
      <c r="W13" s="513" t="s">
        <v>139</v>
      </c>
      <c r="X13" s="504"/>
      <c r="Z13" s="507"/>
    </row>
    <row r="14" spans="2:26" ht="15" customHeight="1">
      <c r="B14" s="513">
        <v>8</v>
      </c>
      <c r="C14" s="516" t="s">
        <v>15</v>
      </c>
      <c r="D14" s="53" t="s">
        <v>141</v>
      </c>
      <c r="E14" s="53" t="s">
        <v>145</v>
      </c>
      <c r="F14" s="53" t="s">
        <v>149</v>
      </c>
      <c r="G14" s="53" t="s">
        <v>147</v>
      </c>
      <c r="H14" s="53" t="s">
        <v>140</v>
      </c>
      <c r="I14" s="53" t="s">
        <v>537</v>
      </c>
      <c r="J14" s="53" t="s">
        <v>153</v>
      </c>
      <c r="K14" s="52"/>
      <c r="L14" s="53" t="s">
        <v>151</v>
      </c>
      <c r="M14" s="53" t="s">
        <v>161</v>
      </c>
      <c r="N14" s="513">
        <v>7</v>
      </c>
      <c r="O14" s="513">
        <v>9</v>
      </c>
      <c r="P14" s="513">
        <v>3</v>
      </c>
      <c r="Q14" s="513">
        <v>2</v>
      </c>
      <c r="R14" s="513">
        <v>4</v>
      </c>
      <c r="S14" s="513" t="s">
        <v>787</v>
      </c>
      <c r="T14" s="513" t="s">
        <v>279</v>
      </c>
      <c r="U14" s="513" t="s">
        <v>788</v>
      </c>
      <c r="V14" s="513" t="s">
        <v>277</v>
      </c>
      <c r="W14" s="513" t="s">
        <v>132</v>
      </c>
      <c r="X14" s="504"/>
      <c r="Z14" s="507"/>
    </row>
    <row r="15" spans="2:26" ht="15" customHeight="1">
      <c r="B15" s="513">
        <v>9</v>
      </c>
      <c r="C15" s="516" t="s">
        <v>304</v>
      </c>
      <c r="D15" s="264" t="s">
        <v>141</v>
      </c>
      <c r="E15" s="264" t="s">
        <v>141</v>
      </c>
      <c r="F15" s="264" t="s">
        <v>146</v>
      </c>
      <c r="G15" s="264" t="s">
        <v>145</v>
      </c>
      <c r="H15" s="264" t="s">
        <v>149</v>
      </c>
      <c r="I15" s="264" t="s">
        <v>146</v>
      </c>
      <c r="J15" s="264" t="s">
        <v>143</v>
      </c>
      <c r="K15" s="264" t="s">
        <v>151</v>
      </c>
      <c r="L15" s="52"/>
      <c r="M15" s="264" t="s">
        <v>153</v>
      </c>
      <c r="N15" s="513">
        <v>7</v>
      </c>
      <c r="O15" s="513">
        <v>9</v>
      </c>
      <c r="P15" s="513">
        <v>3</v>
      </c>
      <c r="Q15" s="513">
        <v>1</v>
      </c>
      <c r="R15" s="513">
        <v>5</v>
      </c>
      <c r="S15" s="513" t="s">
        <v>789</v>
      </c>
      <c r="T15" s="513" t="s">
        <v>275</v>
      </c>
      <c r="U15" s="513" t="s">
        <v>790</v>
      </c>
      <c r="V15" s="513" t="s">
        <v>275</v>
      </c>
      <c r="W15" s="513" t="s">
        <v>176</v>
      </c>
      <c r="X15" s="504"/>
      <c r="Z15" s="507"/>
    </row>
    <row r="16" spans="2:26" ht="15" customHeight="1">
      <c r="B16" s="513">
        <v>10</v>
      </c>
      <c r="C16" s="516" t="s">
        <v>33</v>
      </c>
      <c r="D16" s="53" t="s">
        <v>146</v>
      </c>
      <c r="E16" s="53" t="s">
        <v>150</v>
      </c>
      <c r="F16" s="53" t="s">
        <v>141</v>
      </c>
      <c r="G16" s="53" t="s">
        <v>168</v>
      </c>
      <c r="H16" s="53" t="s">
        <v>163</v>
      </c>
      <c r="I16" s="53" t="s">
        <v>145</v>
      </c>
      <c r="J16" s="53" t="s">
        <v>147</v>
      </c>
      <c r="K16" s="53" t="s">
        <v>160</v>
      </c>
      <c r="L16" s="53" t="s">
        <v>152</v>
      </c>
      <c r="M16" s="52"/>
      <c r="N16" s="513">
        <v>6</v>
      </c>
      <c r="O16" s="513">
        <v>9</v>
      </c>
      <c r="P16" s="513">
        <v>3</v>
      </c>
      <c r="Q16" s="513">
        <v>0</v>
      </c>
      <c r="R16" s="513">
        <v>6</v>
      </c>
      <c r="S16" s="513" t="s">
        <v>791</v>
      </c>
      <c r="T16" s="513" t="s">
        <v>792</v>
      </c>
      <c r="U16" s="513" t="s">
        <v>793</v>
      </c>
      <c r="V16" s="513" t="s">
        <v>275</v>
      </c>
      <c r="W16" s="513" t="s">
        <v>843</v>
      </c>
      <c r="X16" s="504"/>
      <c r="Z16" s="507"/>
    </row>
    <row r="17" spans="2:26" ht="15" customHeight="1">
      <c r="B17" s="523" t="s">
        <v>112</v>
      </c>
      <c r="C17" s="510"/>
      <c r="D17" s="510"/>
      <c r="E17" s="510"/>
      <c r="F17" s="510"/>
      <c r="G17" s="510"/>
      <c r="H17" s="510"/>
      <c r="I17" s="510"/>
      <c r="J17" s="510"/>
      <c r="K17" s="510"/>
      <c r="L17" s="510"/>
      <c r="M17" s="510"/>
      <c r="N17" s="514"/>
      <c r="O17" s="514"/>
      <c r="P17" s="514"/>
      <c r="Q17" s="514"/>
      <c r="R17" s="514"/>
      <c r="S17" s="514"/>
      <c r="T17" s="514"/>
      <c r="U17" s="514"/>
      <c r="V17" s="514"/>
      <c r="W17" s="515"/>
      <c r="X17" s="504"/>
      <c r="Y17" s="504"/>
      <c r="Z17" s="507"/>
    </row>
    <row r="18" spans="2:26" ht="15" customHeight="1">
      <c r="B18" s="506" t="s">
        <v>70</v>
      </c>
      <c r="C18" s="506" t="s">
        <v>71</v>
      </c>
      <c r="D18" s="189">
        <v>1</v>
      </c>
      <c r="E18" s="189">
        <v>2</v>
      </c>
      <c r="F18" s="189">
        <v>3</v>
      </c>
      <c r="G18" s="189">
        <v>4</v>
      </c>
      <c r="H18" s="189">
        <v>5</v>
      </c>
      <c r="I18" s="189">
        <v>6</v>
      </c>
      <c r="J18" s="189">
        <v>7</v>
      </c>
      <c r="K18" s="189">
        <v>8</v>
      </c>
      <c r="L18" s="189">
        <v>9</v>
      </c>
      <c r="M18" s="189">
        <v>10</v>
      </c>
      <c r="N18" s="506" t="s">
        <v>9</v>
      </c>
      <c r="O18" s="506" t="s">
        <v>2</v>
      </c>
      <c r="P18" s="506" t="s">
        <v>3</v>
      </c>
      <c r="Q18" s="506" t="s">
        <v>4</v>
      </c>
      <c r="R18" s="506" t="s">
        <v>5</v>
      </c>
      <c r="S18" s="506" t="s">
        <v>109</v>
      </c>
      <c r="T18" s="506" t="s">
        <v>8</v>
      </c>
      <c r="U18" s="506" t="s">
        <v>110</v>
      </c>
      <c r="V18" s="506" t="s">
        <v>111</v>
      </c>
      <c r="W18" s="512"/>
      <c r="X18" s="504"/>
      <c r="Y18" s="504"/>
      <c r="Z18" s="507"/>
    </row>
    <row r="19" spans="2:26" ht="15" customHeight="1">
      <c r="B19" s="521">
        <v>1</v>
      </c>
      <c r="C19" s="519" t="s">
        <v>235</v>
      </c>
      <c r="D19" s="52"/>
      <c r="E19" s="520" t="s">
        <v>164</v>
      </c>
      <c r="F19" s="520" t="s">
        <v>151</v>
      </c>
      <c r="G19" s="520" t="s">
        <v>147</v>
      </c>
      <c r="H19" s="520" t="s">
        <v>537</v>
      </c>
      <c r="I19" s="520" t="s">
        <v>149</v>
      </c>
      <c r="J19" s="520" t="s">
        <v>148</v>
      </c>
      <c r="K19" s="520" t="s">
        <v>249</v>
      </c>
      <c r="L19" s="520" t="s">
        <v>152</v>
      </c>
      <c r="M19" s="520" t="s">
        <v>145</v>
      </c>
      <c r="N19" s="521">
        <v>14</v>
      </c>
      <c r="O19" s="521">
        <v>9</v>
      </c>
      <c r="P19" s="521">
        <v>6</v>
      </c>
      <c r="Q19" s="521">
        <v>2</v>
      </c>
      <c r="R19" s="521">
        <v>1</v>
      </c>
      <c r="S19" s="521" t="s">
        <v>794</v>
      </c>
      <c r="T19" s="521" t="s">
        <v>795</v>
      </c>
      <c r="U19" s="521" t="s">
        <v>796</v>
      </c>
      <c r="V19" s="521" t="s">
        <v>275</v>
      </c>
      <c r="W19" s="521">
        <v>16</v>
      </c>
      <c r="X19" s="504"/>
      <c r="Y19" s="504"/>
      <c r="Z19" s="507"/>
    </row>
    <row r="20" spans="2:26" ht="15" customHeight="1">
      <c r="B20" s="521">
        <v>2</v>
      </c>
      <c r="C20" s="519" t="s">
        <v>126</v>
      </c>
      <c r="D20" s="520" t="s">
        <v>164</v>
      </c>
      <c r="E20" s="52"/>
      <c r="F20" s="520" t="s">
        <v>142</v>
      </c>
      <c r="G20" s="520" t="s">
        <v>165</v>
      </c>
      <c r="H20" s="520" t="s">
        <v>141</v>
      </c>
      <c r="I20" s="520" t="s">
        <v>159</v>
      </c>
      <c r="J20" s="520" t="s">
        <v>140</v>
      </c>
      <c r="K20" s="520" t="s">
        <v>145</v>
      </c>
      <c r="L20" s="520" t="s">
        <v>149</v>
      </c>
      <c r="M20" s="520" t="s">
        <v>148</v>
      </c>
      <c r="N20" s="521">
        <v>12</v>
      </c>
      <c r="O20" s="521">
        <v>9</v>
      </c>
      <c r="P20" s="521">
        <v>5</v>
      </c>
      <c r="Q20" s="521">
        <v>2</v>
      </c>
      <c r="R20" s="521">
        <v>2</v>
      </c>
      <c r="S20" s="521" t="s">
        <v>799</v>
      </c>
      <c r="T20" s="521" t="s">
        <v>800</v>
      </c>
      <c r="U20" s="521" t="s">
        <v>801</v>
      </c>
      <c r="V20" s="521" t="s">
        <v>275</v>
      </c>
      <c r="W20" s="521">
        <v>16</v>
      </c>
      <c r="X20" s="504"/>
      <c r="Y20" s="504"/>
      <c r="Z20" s="507"/>
    </row>
    <row r="21" spans="2:26" ht="15" customHeight="1">
      <c r="B21" s="521">
        <v>3</v>
      </c>
      <c r="C21" s="519" t="s">
        <v>303</v>
      </c>
      <c r="D21" s="520" t="s">
        <v>151</v>
      </c>
      <c r="E21" s="520" t="s">
        <v>141</v>
      </c>
      <c r="F21" s="52"/>
      <c r="G21" s="520" t="s">
        <v>162</v>
      </c>
      <c r="H21" s="520" t="s">
        <v>162</v>
      </c>
      <c r="I21" s="520" t="s">
        <v>167</v>
      </c>
      <c r="J21" s="520" t="s">
        <v>158</v>
      </c>
      <c r="K21" s="520" t="s">
        <v>151</v>
      </c>
      <c r="L21" s="520" t="s">
        <v>152</v>
      </c>
      <c r="M21" s="520" t="s">
        <v>159</v>
      </c>
      <c r="N21" s="521">
        <v>12</v>
      </c>
      <c r="O21" s="521">
        <v>9</v>
      </c>
      <c r="P21" s="521">
        <v>5</v>
      </c>
      <c r="Q21" s="521">
        <v>2</v>
      </c>
      <c r="R21" s="521">
        <v>2</v>
      </c>
      <c r="S21" s="521" t="s">
        <v>797</v>
      </c>
      <c r="T21" s="521" t="s">
        <v>291</v>
      </c>
      <c r="U21" s="521" t="s">
        <v>798</v>
      </c>
      <c r="V21" s="521" t="s">
        <v>275</v>
      </c>
      <c r="W21" s="521">
        <v>16</v>
      </c>
      <c r="X21" s="504"/>
      <c r="Y21" s="504"/>
      <c r="Z21" s="507"/>
    </row>
    <row r="22" spans="2:26" ht="15" customHeight="1">
      <c r="B22" s="522">
        <v>4</v>
      </c>
      <c r="C22" s="517" t="s">
        <v>34</v>
      </c>
      <c r="D22" s="518" t="s">
        <v>148</v>
      </c>
      <c r="E22" s="518" t="s">
        <v>166</v>
      </c>
      <c r="F22" s="518" t="s">
        <v>163</v>
      </c>
      <c r="G22" s="52"/>
      <c r="H22" s="518" t="s">
        <v>148</v>
      </c>
      <c r="I22" s="518" t="s">
        <v>158</v>
      </c>
      <c r="J22" s="518" t="s">
        <v>172</v>
      </c>
      <c r="K22" s="518" t="s">
        <v>158</v>
      </c>
      <c r="L22" s="518" t="s">
        <v>145</v>
      </c>
      <c r="M22" s="518" t="s">
        <v>148</v>
      </c>
      <c r="N22" s="522">
        <v>12</v>
      </c>
      <c r="O22" s="522">
        <v>9</v>
      </c>
      <c r="P22" s="522">
        <v>6</v>
      </c>
      <c r="Q22" s="522">
        <v>0</v>
      </c>
      <c r="R22" s="522">
        <v>3</v>
      </c>
      <c r="S22" s="522" t="s">
        <v>802</v>
      </c>
      <c r="T22" s="522" t="s">
        <v>281</v>
      </c>
      <c r="U22" s="522" t="s">
        <v>778</v>
      </c>
      <c r="V22" s="522" t="s">
        <v>275</v>
      </c>
      <c r="W22" s="522">
        <v>16</v>
      </c>
      <c r="X22" s="504"/>
      <c r="Y22" s="504"/>
      <c r="Z22" s="507"/>
    </row>
    <row r="23" spans="2:26" ht="15" customHeight="1">
      <c r="B23" s="522">
        <v>5</v>
      </c>
      <c r="C23" s="517" t="s">
        <v>122</v>
      </c>
      <c r="D23" s="518" t="s">
        <v>536</v>
      </c>
      <c r="E23" s="518" t="s">
        <v>142</v>
      </c>
      <c r="F23" s="518" t="s">
        <v>163</v>
      </c>
      <c r="G23" s="518" t="s">
        <v>147</v>
      </c>
      <c r="H23" s="52"/>
      <c r="I23" s="518" t="s">
        <v>145</v>
      </c>
      <c r="J23" s="518" t="s">
        <v>159</v>
      </c>
      <c r="K23" s="518" t="s">
        <v>228</v>
      </c>
      <c r="L23" s="518" t="s">
        <v>159</v>
      </c>
      <c r="M23" s="518" t="s">
        <v>142</v>
      </c>
      <c r="N23" s="522">
        <v>8</v>
      </c>
      <c r="O23" s="522">
        <v>9</v>
      </c>
      <c r="P23" s="522">
        <v>4</v>
      </c>
      <c r="Q23" s="522">
        <v>0</v>
      </c>
      <c r="R23" s="522">
        <v>5</v>
      </c>
      <c r="S23" s="522" t="s">
        <v>283</v>
      </c>
      <c r="T23" s="522" t="s">
        <v>284</v>
      </c>
      <c r="U23" s="522" t="s">
        <v>803</v>
      </c>
      <c r="V23" s="522" t="s">
        <v>275</v>
      </c>
      <c r="W23" s="522" t="s">
        <v>174</v>
      </c>
      <c r="X23" s="504"/>
      <c r="Y23" s="504"/>
      <c r="Z23" s="507"/>
    </row>
    <row r="24" spans="2:26" ht="15" customHeight="1">
      <c r="B24" s="513">
        <v>6</v>
      </c>
      <c r="C24" s="516" t="s">
        <v>13</v>
      </c>
      <c r="D24" s="53" t="s">
        <v>150</v>
      </c>
      <c r="E24" s="53" t="s">
        <v>158</v>
      </c>
      <c r="F24" s="53" t="s">
        <v>168</v>
      </c>
      <c r="G24" s="53" t="s">
        <v>159</v>
      </c>
      <c r="H24" s="53" t="s">
        <v>146</v>
      </c>
      <c r="I24" s="52"/>
      <c r="J24" s="53" t="s">
        <v>160</v>
      </c>
      <c r="K24" s="53" t="s">
        <v>151</v>
      </c>
      <c r="L24" s="53" t="s">
        <v>146</v>
      </c>
      <c r="M24" s="53" t="s">
        <v>157</v>
      </c>
      <c r="N24" s="513">
        <v>7</v>
      </c>
      <c r="O24" s="513">
        <v>9</v>
      </c>
      <c r="P24" s="513">
        <v>3</v>
      </c>
      <c r="Q24" s="513">
        <v>1</v>
      </c>
      <c r="R24" s="513">
        <v>5</v>
      </c>
      <c r="S24" s="513" t="s">
        <v>806</v>
      </c>
      <c r="T24" s="513" t="s">
        <v>286</v>
      </c>
      <c r="U24" s="513" t="s">
        <v>807</v>
      </c>
      <c r="V24" s="513" t="s">
        <v>275</v>
      </c>
      <c r="W24" s="513" t="s">
        <v>175</v>
      </c>
      <c r="X24" s="504"/>
      <c r="Y24" s="504"/>
      <c r="Z24" s="507"/>
    </row>
    <row r="25" spans="2:26" ht="15" customHeight="1">
      <c r="B25" s="513">
        <v>7</v>
      </c>
      <c r="C25" s="516" t="s">
        <v>127</v>
      </c>
      <c r="D25" s="53" t="s">
        <v>147</v>
      </c>
      <c r="E25" s="53" t="s">
        <v>140</v>
      </c>
      <c r="F25" s="53" t="s">
        <v>159</v>
      </c>
      <c r="G25" s="53" t="s">
        <v>171</v>
      </c>
      <c r="H25" s="53" t="s">
        <v>158</v>
      </c>
      <c r="I25" s="53" t="s">
        <v>161</v>
      </c>
      <c r="J25" s="52"/>
      <c r="K25" s="53" t="s">
        <v>146</v>
      </c>
      <c r="L25" s="53" t="s">
        <v>148</v>
      </c>
      <c r="M25" s="53" t="s">
        <v>164</v>
      </c>
      <c r="N25" s="513">
        <v>7</v>
      </c>
      <c r="O25" s="513">
        <v>9</v>
      </c>
      <c r="P25" s="513">
        <v>3</v>
      </c>
      <c r="Q25" s="513">
        <v>2</v>
      </c>
      <c r="R25" s="513">
        <v>4</v>
      </c>
      <c r="S25" s="513" t="s">
        <v>804</v>
      </c>
      <c r="T25" s="513" t="s">
        <v>278</v>
      </c>
      <c r="U25" s="513" t="s">
        <v>805</v>
      </c>
      <c r="V25" s="513" t="s">
        <v>277</v>
      </c>
      <c r="W25" s="513" t="s">
        <v>139</v>
      </c>
      <c r="X25" s="504"/>
      <c r="Y25" s="504"/>
      <c r="Z25" s="507"/>
    </row>
    <row r="26" spans="2:26" ht="15" customHeight="1">
      <c r="B26" s="513">
        <v>8</v>
      </c>
      <c r="C26" s="516" t="s">
        <v>116</v>
      </c>
      <c r="D26" s="264" t="s">
        <v>250</v>
      </c>
      <c r="E26" s="264" t="s">
        <v>146</v>
      </c>
      <c r="F26" s="264" t="s">
        <v>151</v>
      </c>
      <c r="G26" s="264" t="s">
        <v>159</v>
      </c>
      <c r="H26" s="264" t="s">
        <v>227</v>
      </c>
      <c r="I26" s="264" t="s">
        <v>151</v>
      </c>
      <c r="J26" s="264" t="s">
        <v>145</v>
      </c>
      <c r="K26" s="52"/>
      <c r="L26" s="264" t="s">
        <v>158</v>
      </c>
      <c r="M26" s="264" t="s">
        <v>147</v>
      </c>
      <c r="N26" s="513">
        <v>6</v>
      </c>
      <c r="O26" s="513">
        <v>9</v>
      </c>
      <c r="P26" s="513">
        <v>2</v>
      </c>
      <c r="Q26" s="513">
        <v>2</v>
      </c>
      <c r="R26" s="513">
        <v>5</v>
      </c>
      <c r="S26" s="513" t="s">
        <v>809</v>
      </c>
      <c r="T26" s="513" t="s">
        <v>284</v>
      </c>
      <c r="U26" s="513" t="s">
        <v>810</v>
      </c>
      <c r="V26" s="513" t="s">
        <v>275</v>
      </c>
      <c r="W26" s="513" t="s">
        <v>132</v>
      </c>
      <c r="X26" s="504"/>
      <c r="Y26" s="504"/>
      <c r="Z26" s="507"/>
    </row>
    <row r="27" spans="2:26" ht="15" customHeight="1">
      <c r="B27" s="513">
        <v>9</v>
      </c>
      <c r="C27" s="516" t="s">
        <v>120</v>
      </c>
      <c r="D27" s="53" t="s">
        <v>153</v>
      </c>
      <c r="E27" s="53" t="s">
        <v>150</v>
      </c>
      <c r="F27" s="53" t="s">
        <v>153</v>
      </c>
      <c r="G27" s="53" t="s">
        <v>146</v>
      </c>
      <c r="H27" s="53" t="s">
        <v>158</v>
      </c>
      <c r="I27" s="53" t="s">
        <v>145</v>
      </c>
      <c r="J27" s="53" t="s">
        <v>147</v>
      </c>
      <c r="K27" s="53" t="s">
        <v>159</v>
      </c>
      <c r="L27" s="52"/>
      <c r="M27" s="53" t="s">
        <v>157</v>
      </c>
      <c r="N27" s="513">
        <v>6</v>
      </c>
      <c r="O27" s="513">
        <v>9</v>
      </c>
      <c r="P27" s="513">
        <v>3</v>
      </c>
      <c r="Q27" s="513">
        <v>0</v>
      </c>
      <c r="R27" s="513">
        <v>6</v>
      </c>
      <c r="S27" s="513" t="s">
        <v>808</v>
      </c>
      <c r="T27" s="513" t="s">
        <v>290</v>
      </c>
      <c r="U27" s="513" t="s">
        <v>790</v>
      </c>
      <c r="V27" s="513" t="s">
        <v>275</v>
      </c>
      <c r="W27" s="513" t="s">
        <v>176</v>
      </c>
      <c r="X27" s="504"/>
      <c r="Y27" s="504"/>
      <c r="Z27" s="507"/>
    </row>
    <row r="28" spans="2:26" ht="15" customHeight="1">
      <c r="B28" s="513">
        <v>10</v>
      </c>
      <c r="C28" s="516" t="s">
        <v>325</v>
      </c>
      <c r="D28" s="53" t="s">
        <v>146</v>
      </c>
      <c r="E28" s="53" t="s">
        <v>147</v>
      </c>
      <c r="F28" s="53" t="s">
        <v>158</v>
      </c>
      <c r="G28" s="53" t="s">
        <v>147</v>
      </c>
      <c r="H28" s="53" t="s">
        <v>141</v>
      </c>
      <c r="I28" s="53" t="s">
        <v>156</v>
      </c>
      <c r="J28" s="53" t="s">
        <v>164</v>
      </c>
      <c r="K28" s="53" t="s">
        <v>148</v>
      </c>
      <c r="L28" s="53" t="s">
        <v>156</v>
      </c>
      <c r="M28" s="52"/>
      <c r="N28" s="513">
        <v>5</v>
      </c>
      <c r="O28" s="513">
        <v>9</v>
      </c>
      <c r="P28" s="513">
        <v>2</v>
      </c>
      <c r="Q28" s="513">
        <v>1</v>
      </c>
      <c r="R28" s="513">
        <v>6</v>
      </c>
      <c r="S28" s="513" t="s">
        <v>808</v>
      </c>
      <c r="T28" s="513" t="s">
        <v>290</v>
      </c>
      <c r="U28" s="513" t="s">
        <v>811</v>
      </c>
      <c r="V28" s="513" t="s">
        <v>275</v>
      </c>
      <c r="W28" s="513" t="s">
        <v>843</v>
      </c>
      <c r="X28" s="504"/>
      <c r="Y28" s="504"/>
      <c r="Z28" s="507"/>
    </row>
    <row r="29" spans="2:26" ht="15" customHeight="1">
      <c r="B29" s="523" t="s">
        <v>113</v>
      </c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4"/>
      <c r="O29" s="514"/>
      <c r="P29" s="514"/>
      <c r="Q29" s="514"/>
      <c r="R29" s="514"/>
      <c r="S29" s="514"/>
      <c r="T29" s="514"/>
      <c r="U29" s="514"/>
      <c r="V29" s="514"/>
      <c r="W29" s="515"/>
      <c r="X29" s="504"/>
      <c r="Y29" s="504"/>
      <c r="Z29" s="507"/>
    </row>
    <row r="30" spans="2:26" ht="15" customHeight="1">
      <c r="B30" s="506" t="s">
        <v>70</v>
      </c>
      <c r="C30" s="506" t="s">
        <v>71</v>
      </c>
      <c r="D30" s="189">
        <v>1</v>
      </c>
      <c r="E30" s="189">
        <v>2</v>
      </c>
      <c r="F30" s="189">
        <v>3</v>
      </c>
      <c r="G30" s="189">
        <v>4</v>
      </c>
      <c r="H30" s="189">
        <v>5</v>
      </c>
      <c r="I30" s="189">
        <v>6</v>
      </c>
      <c r="J30" s="189">
        <v>7</v>
      </c>
      <c r="K30" s="189">
        <v>8</v>
      </c>
      <c r="L30" s="189">
        <v>9</v>
      </c>
      <c r="M30" s="189">
        <v>10</v>
      </c>
      <c r="N30" s="506" t="s">
        <v>9</v>
      </c>
      <c r="O30" s="506" t="s">
        <v>2</v>
      </c>
      <c r="P30" s="506" t="s">
        <v>3</v>
      </c>
      <c r="Q30" s="506" t="s">
        <v>4</v>
      </c>
      <c r="R30" s="506" t="s">
        <v>5</v>
      </c>
      <c r="S30" s="506" t="s">
        <v>109</v>
      </c>
      <c r="T30" s="506" t="s">
        <v>8</v>
      </c>
      <c r="U30" s="506" t="s">
        <v>110</v>
      </c>
      <c r="V30" s="506" t="s">
        <v>111</v>
      </c>
      <c r="W30" s="512"/>
      <c r="X30" s="504"/>
      <c r="Y30" s="504"/>
      <c r="Z30" s="507"/>
    </row>
    <row r="31" spans="2:26" ht="15" customHeight="1">
      <c r="B31" s="521">
        <v>1</v>
      </c>
      <c r="C31" s="519" t="s">
        <v>316</v>
      </c>
      <c r="D31" s="52"/>
      <c r="E31" s="520" t="s">
        <v>143</v>
      </c>
      <c r="F31" s="520" t="s">
        <v>141</v>
      </c>
      <c r="G31" s="520" t="s">
        <v>170</v>
      </c>
      <c r="H31" s="520" t="s">
        <v>143</v>
      </c>
      <c r="I31" s="520" t="s">
        <v>152</v>
      </c>
      <c r="J31" s="520" t="s">
        <v>140</v>
      </c>
      <c r="K31" s="520" t="s">
        <v>152</v>
      </c>
      <c r="L31" s="520" t="s">
        <v>162</v>
      </c>
      <c r="M31" s="520" t="s">
        <v>157</v>
      </c>
      <c r="N31" s="521">
        <v>13</v>
      </c>
      <c r="O31" s="521">
        <v>9</v>
      </c>
      <c r="P31" s="521">
        <v>6</v>
      </c>
      <c r="Q31" s="521">
        <v>1</v>
      </c>
      <c r="R31" s="521">
        <v>2</v>
      </c>
      <c r="S31" s="521" t="s">
        <v>812</v>
      </c>
      <c r="T31" s="521" t="s">
        <v>294</v>
      </c>
      <c r="U31" s="521" t="s">
        <v>780</v>
      </c>
      <c r="V31" s="521" t="s">
        <v>275</v>
      </c>
      <c r="W31" s="521">
        <v>16</v>
      </c>
      <c r="X31" s="504"/>
      <c r="Y31" s="504"/>
      <c r="Z31" s="507"/>
    </row>
    <row r="32" spans="2:26" ht="15" customHeight="1">
      <c r="B32" s="521">
        <v>2</v>
      </c>
      <c r="C32" s="519" t="s">
        <v>117</v>
      </c>
      <c r="D32" s="520" t="s">
        <v>144</v>
      </c>
      <c r="E32" s="52"/>
      <c r="F32" s="520" t="s">
        <v>140</v>
      </c>
      <c r="G32" s="520" t="s">
        <v>149</v>
      </c>
      <c r="H32" s="520" t="s">
        <v>147</v>
      </c>
      <c r="I32" s="520" t="s">
        <v>165</v>
      </c>
      <c r="J32" s="520" t="s">
        <v>148</v>
      </c>
      <c r="K32" s="520" t="s">
        <v>152</v>
      </c>
      <c r="L32" s="520" t="s">
        <v>145</v>
      </c>
      <c r="M32" s="520" t="s">
        <v>145</v>
      </c>
      <c r="N32" s="521">
        <v>13</v>
      </c>
      <c r="O32" s="521">
        <v>9</v>
      </c>
      <c r="P32" s="521">
        <v>6</v>
      </c>
      <c r="Q32" s="521">
        <v>1</v>
      </c>
      <c r="R32" s="521">
        <v>2</v>
      </c>
      <c r="S32" s="521" t="s">
        <v>777</v>
      </c>
      <c r="T32" s="521" t="s">
        <v>293</v>
      </c>
      <c r="U32" s="521" t="s">
        <v>813</v>
      </c>
      <c r="V32" s="521" t="s">
        <v>275</v>
      </c>
      <c r="W32" s="521">
        <v>16</v>
      </c>
      <c r="X32" s="504"/>
      <c r="Y32" s="504"/>
      <c r="Z32" s="507"/>
    </row>
    <row r="33" spans="2:26" ht="15" customHeight="1">
      <c r="B33" s="521">
        <v>3</v>
      </c>
      <c r="C33" s="519" t="s">
        <v>20</v>
      </c>
      <c r="D33" s="520" t="s">
        <v>142</v>
      </c>
      <c r="E33" s="520" t="s">
        <v>140</v>
      </c>
      <c r="F33" s="52"/>
      <c r="G33" s="520" t="s">
        <v>227</v>
      </c>
      <c r="H33" s="520" t="s">
        <v>147</v>
      </c>
      <c r="I33" s="520" t="s">
        <v>157</v>
      </c>
      <c r="J33" s="520" t="s">
        <v>171</v>
      </c>
      <c r="K33" s="520" t="s">
        <v>165</v>
      </c>
      <c r="L33" s="520" t="s">
        <v>152</v>
      </c>
      <c r="M33" s="520" t="s">
        <v>163</v>
      </c>
      <c r="N33" s="521">
        <v>11</v>
      </c>
      <c r="O33" s="521">
        <v>9</v>
      </c>
      <c r="P33" s="521">
        <v>5</v>
      </c>
      <c r="Q33" s="521">
        <v>1</v>
      </c>
      <c r="R33" s="521">
        <v>3</v>
      </c>
      <c r="S33" s="521" t="s">
        <v>814</v>
      </c>
      <c r="T33" s="521" t="s">
        <v>291</v>
      </c>
      <c r="U33" s="521" t="s">
        <v>780</v>
      </c>
      <c r="V33" s="521" t="s">
        <v>275</v>
      </c>
      <c r="W33" s="521">
        <v>16</v>
      </c>
      <c r="X33" s="504"/>
      <c r="Y33" s="504"/>
      <c r="Z33" s="507"/>
    </row>
    <row r="34" spans="2:26" ht="15" customHeight="1">
      <c r="B34" s="522">
        <v>4</v>
      </c>
      <c r="C34" s="517" t="s">
        <v>307</v>
      </c>
      <c r="D34" s="518" t="s">
        <v>169</v>
      </c>
      <c r="E34" s="518" t="s">
        <v>150</v>
      </c>
      <c r="F34" s="518" t="s">
        <v>228</v>
      </c>
      <c r="G34" s="52"/>
      <c r="H34" s="518" t="s">
        <v>162</v>
      </c>
      <c r="I34" s="518" t="s">
        <v>153</v>
      </c>
      <c r="J34" s="518" t="s">
        <v>145</v>
      </c>
      <c r="K34" s="518" t="s">
        <v>162</v>
      </c>
      <c r="L34" s="518" t="s">
        <v>156</v>
      </c>
      <c r="M34" s="518" t="s">
        <v>141</v>
      </c>
      <c r="N34" s="522">
        <v>10</v>
      </c>
      <c r="O34" s="522">
        <v>9</v>
      </c>
      <c r="P34" s="522">
        <v>5</v>
      </c>
      <c r="Q34" s="522">
        <v>0</v>
      </c>
      <c r="R34" s="522">
        <v>4</v>
      </c>
      <c r="S34" s="522" t="s">
        <v>817</v>
      </c>
      <c r="T34" s="522" t="s">
        <v>286</v>
      </c>
      <c r="U34" s="522" t="s">
        <v>818</v>
      </c>
      <c r="V34" s="522" t="s">
        <v>275</v>
      </c>
      <c r="W34" s="522" t="s">
        <v>174</v>
      </c>
      <c r="X34" s="504"/>
      <c r="Y34" s="504"/>
      <c r="Z34" s="507"/>
    </row>
    <row r="35" spans="2:26" ht="15" customHeight="1">
      <c r="B35" s="522">
        <v>5</v>
      </c>
      <c r="C35" s="517" t="s">
        <v>124</v>
      </c>
      <c r="D35" s="518" t="s">
        <v>144</v>
      </c>
      <c r="E35" s="518" t="s">
        <v>148</v>
      </c>
      <c r="F35" s="518" t="s">
        <v>148</v>
      </c>
      <c r="G35" s="518" t="s">
        <v>163</v>
      </c>
      <c r="H35" s="52"/>
      <c r="I35" s="518" t="s">
        <v>151</v>
      </c>
      <c r="J35" s="518" t="s">
        <v>152</v>
      </c>
      <c r="K35" s="518" t="s">
        <v>147</v>
      </c>
      <c r="L35" s="518" t="s">
        <v>140</v>
      </c>
      <c r="M35" s="518" t="s">
        <v>152</v>
      </c>
      <c r="N35" s="522">
        <v>10</v>
      </c>
      <c r="O35" s="522">
        <v>9</v>
      </c>
      <c r="P35" s="522">
        <v>4</v>
      </c>
      <c r="Q35" s="522">
        <v>2</v>
      </c>
      <c r="R35" s="522">
        <v>3</v>
      </c>
      <c r="S35" s="522" t="s">
        <v>815</v>
      </c>
      <c r="T35" s="522" t="s">
        <v>279</v>
      </c>
      <c r="U35" s="522" t="s">
        <v>816</v>
      </c>
      <c r="V35" s="522" t="s">
        <v>275</v>
      </c>
      <c r="W35" s="522">
        <v>16</v>
      </c>
      <c r="X35" s="504"/>
      <c r="Y35" s="504"/>
      <c r="Z35" s="507"/>
    </row>
    <row r="36" spans="2:26" ht="15" customHeight="1">
      <c r="B36" s="513">
        <v>6</v>
      </c>
      <c r="C36" s="516" t="s">
        <v>311</v>
      </c>
      <c r="D36" s="53" t="s">
        <v>153</v>
      </c>
      <c r="E36" s="53" t="s">
        <v>166</v>
      </c>
      <c r="F36" s="53" t="s">
        <v>156</v>
      </c>
      <c r="G36" s="53" t="s">
        <v>152</v>
      </c>
      <c r="H36" s="53" t="s">
        <v>151</v>
      </c>
      <c r="I36" s="52"/>
      <c r="J36" s="53" t="s">
        <v>140</v>
      </c>
      <c r="K36" s="53" t="s">
        <v>145</v>
      </c>
      <c r="L36" s="53" t="s">
        <v>140</v>
      </c>
      <c r="M36" s="53" t="s">
        <v>845</v>
      </c>
      <c r="N36" s="513">
        <v>9</v>
      </c>
      <c r="O36" s="513">
        <v>9</v>
      </c>
      <c r="P36" s="513">
        <v>3</v>
      </c>
      <c r="Q36" s="513">
        <v>3</v>
      </c>
      <c r="R36" s="513">
        <v>3</v>
      </c>
      <c r="S36" s="513" t="s">
        <v>819</v>
      </c>
      <c r="T36" s="513" t="s">
        <v>288</v>
      </c>
      <c r="U36" s="513" t="s">
        <v>820</v>
      </c>
      <c r="V36" s="513" t="s">
        <v>275</v>
      </c>
      <c r="W36" s="513" t="s">
        <v>175</v>
      </c>
      <c r="X36" s="504"/>
      <c r="Y36" s="504"/>
      <c r="Z36" s="507"/>
    </row>
    <row r="37" spans="2:26" ht="15" customHeight="1">
      <c r="B37" s="513">
        <v>7</v>
      </c>
      <c r="C37" s="516" t="s">
        <v>313</v>
      </c>
      <c r="D37" s="53" t="s">
        <v>140</v>
      </c>
      <c r="E37" s="53" t="s">
        <v>147</v>
      </c>
      <c r="F37" s="53" t="s">
        <v>172</v>
      </c>
      <c r="G37" s="53" t="s">
        <v>146</v>
      </c>
      <c r="H37" s="53" t="s">
        <v>153</v>
      </c>
      <c r="I37" s="53" t="s">
        <v>140</v>
      </c>
      <c r="J37" s="52"/>
      <c r="K37" s="53" t="s">
        <v>148</v>
      </c>
      <c r="L37" s="53" t="s">
        <v>162</v>
      </c>
      <c r="M37" s="53" t="s">
        <v>162</v>
      </c>
      <c r="N37" s="513">
        <v>8</v>
      </c>
      <c r="O37" s="513">
        <v>9</v>
      </c>
      <c r="P37" s="513">
        <v>3</v>
      </c>
      <c r="Q37" s="513">
        <v>2</v>
      </c>
      <c r="R37" s="513">
        <v>4</v>
      </c>
      <c r="S37" s="513" t="s">
        <v>821</v>
      </c>
      <c r="T37" s="513" t="s">
        <v>287</v>
      </c>
      <c r="U37" s="513" t="s">
        <v>822</v>
      </c>
      <c r="V37" s="513" t="s">
        <v>275</v>
      </c>
      <c r="W37" s="513" t="s">
        <v>139</v>
      </c>
      <c r="X37" s="504"/>
      <c r="Y37" s="504"/>
      <c r="Z37" s="507"/>
    </row>
    <row r="38" spans="2:26" ht="15" customHeight="1">
      <c r="B38" s="513">
        <v>8</v>
      </c>
      <c r="C38" s="516" t="s">
        <v>673</v>
      </c>
      <c r="D38" s="264" t="s">
        <v>153</v>
      </c>
      <c r="E38" s="264" t="s">
        <v>153</v>
      </c>
      <c r="F38" s="264" t="s">
        <v>166</v>
      </c>
      <c r="G38" s="264" t="s">
        <v>163</v>
      </c>
      <c r="H38" s="264" t="s">
        <v>148</v>
      </c>
      <c r="I38" s="264" t="s">
        <v>146</v>
      </c>
      <c r="J38" s="264" t="s">
        <v>147</v>
      </c>
      <c r="K38" s="52"/>
      <c r="L38" s="264" t="s">
        <v>148</v>
      </c>
      <c r="M38" s="264" t="s">
        <v>149</v>
      </c>
      <c r="N38" s="513">
        <v>6</v>
      </c>
      <c r="O38" s="513">
        <v>9</v>
      </c>
      <c r="P38" s="513">
        <v>3</v>
      </c>
      <c r="Q38" s="513">
        <v>0</v>
      </c>
      <c r="R38" s="513">
        <v>6</v>
      </c>
      <c r="S38" s="513" t="s">
        <v>786</v>
      </c>
      <c r="T38" s="513" t="s">
        <v>285</v>
      </c>
      <c r="U38" s="513" t="s">
        <v>823</v>
      </c>
      <c r="V38" s="513" t="s">
        <v>275</v>
      </c>
      <c r="W38" s="513" t="s">
        <v>132</v>
      </c>
      <c r="X38" s="504"/>
      <c r="Y38" s="504"/>
      <c r="Z38" s="507"/>
    </row>
    <row r="39" spans="2:26" ht="15" customHeight="1">
      <c r="B39" s="513">
        <v>9</v>
      </c>
      <c r="C39" s="516" t="s">
        <v>315</v>
      </c>
      <c r="D39" s="53" t="s">
        <v>163</v>
      </c>
      <c r="E39" s="53" t="s">
        <v>146</v>
      </c>
      <c r="F39" s="53" t="s">
        <v>153</v>
      </c>
      <c r="G39" s="53" t="s">
        <v>157</v>
      </c>
      <c r="H39" s="53" t="s">
        <v>140</v>
      </c>
      <c r="I39" s="53" t="s">
        <v>140</v>
      </c>
      <c r="J39" s="53" t="s">
        <v>163</v>
      </c>
      <c r="K39" s="53" t="s">
        <v>147</v>
      </c>
      <c r="L39" s="52"/>
      <c r="M39" s="53" t="s">
        <v>145</v>
      </c>
      <c r="N39" s="513">
        <v>6</v>
      </c>
      <c r="O39" s="513">
        <v>9</v>
      </c>
      <c r="P39" s="513">
        <v>2</v>
      </c>
      <c r="Q39" s="513">
        <v>2</v>
      </c>
      <c r="R39" s="513">
        <v>5</v>
      </c>
      <c r="S39" s="513" t="s">
        <v>804</v>
      </c>
      <c r="T39" s="513" t="s">
        <v>278</v>
      </c>
      <c r="U39" s="513" t="s">
        <v>776</v>
      </c>
      <c r="V39" s="513" t="s">
        <v>275</v>
      </c>
      <c r="W39" s="513" t="s">
        <v>176</v>
      </c>
      <c r="X39" s="504"/>
      <c r="Y39" s="504"/>
      <c r="Z39" s="507"/>
    </row>
    <row r="40" spans="2:26" ht="15" customHeight="1">
      <c r="B40" s="513">
        <v>10</v>
      </c>
      <c r="C40" s="516" t="s">
        <v>305</v>
      </c>
      <c r="D40" s="53" t="s">
        <v>156</v>
      </c>
      <c r="E40" s="53" t="s">
        <v>146</v>
      </c>
      <c r="F40" s="53" t="s">
        <v>162</v>
      </c>
      <c r="G40" s="53" t="s">
        <v>142</v>
      </c>
      <c r="H40" s="53" t="s">
        <v>153</v>
      </c>
      <c r="I40" s="53" t="s">
        <v>846</v>
      </c>
      <c r="J40" s="53" t="s">
        <v>163</v>
      </c>
      <c r="K40" s="53" t="s">
        <v>150</v>
      </c>
      <c r="L40" s="53" t="s">
        <v>146</v>
      </c>
      <c r="M40" s="52"/>
      <c r="N40" s="513">
        <v>4</v>
      </c>
      <c r="O40" s="513">
        <v>9</v>
      </c>
      <c r="P40" s="513">
        <v>2</v>
      </c>
      <c r="Q40" s="513">
        <v>0</v>
      </c>
      <c r="R40" s="513">
        <v>7</v>
      </c>
      <c r="S40" s="513" t="s">
        <v>824</v>
      </c>
      <c r="T40" s="513" t="s">
        <v>296</v>
      </c>
      <c r="U40" s="513" t="s">
        <v>825</v>
      </c>
      <c r="V40" s="513" t="s">
        <v>275</v>
      </c>
      <c r="W40" s="513" t="s">
        <v>843</v>
      </c>
      <c r="X40" s="504"/>
      <c r="Y40" s="504"/>
      <c r="Z40" s="507"/>
    </row>
    <row r="41" spans="2:26" ht="15" customHeight="1">
      <c r="B41" s="523" t="s">
        <v>114</v>
      </c>
      <c r="C41" s="510"/>
      <c r="D41" s="510"/>
      <c r="E41" s="510"/>
      <c r="F41" s="510"/>
      <c r="G41" s="510"/>
      <c r="H41" s="510"/>
      <c r="I41" s="510"/>
      <c r="J41" s="510"/>
      <c r="K41" s="510"/>
      <c r="L41" s="510"/>
      <c r="M41" s="510"/>
      <c r="N41" s="514"/>
      <c r="O41" s="514"/>
      <c r="P41" s="514"/>
      <c r="Q41" s="514"/>
      <c r="R41" s="514"/>
      <c r="S41" s="514"/>
      <c r="T41" s="514"/>
      <c r="U41" s="514"/>
      <c r="V41" s="514"/>
      <c r="W41" s="515"/>
      <c r="X41" s="504"/>
      <c r="Y41" s="504"/>
      <c r="Z41" s="507"/>
    </row>
    <row r="42" spans="2:26" ht="15" customHeight="1">
      <c r="B42" s="506" t="s">
        <v>70</v>
      </c>
      <c r="C42" s="506" t="s">
        <v>71</v>
      </c>
      <c r="D42" s="189">
        <v>1</v>
      </c>
      <c r="E42" s="189">
        <v>2</v>
      </c>
      <c r="F42" s="189">
        <v>3</v>
      </c>
      <c r="G42" s="189">
        <v>4</v>
      </c>
      <c r="H42" s="189">
        <v>5</v>
      </c>
      <c r="I42" s="189">
        <v>6</v>
      </c>
      <c r="J42" s="189">
        <v>7</v>
      </c>
      <c r="K42" s="189">
        <v>8</v>
      </c>
      <c r="L42" s="189">
        <v>9</v>
      </c>
      <c r="M42" s="189">
        <v>10</v>
      </c>
      <c r="N42" s="506" t="s">
        <v>9</v>
      </c>
      <c r="O42" s="506" t="s">
        <v>2</v>
      </c>
      <c r="P42" s="506" t="s">
        <v>3</v>
      </c>
      <c r="Q42" s="506" t="s">
        <v>4</v>
      </c>
      <c r="R42" s="506" t="s">
        <v>5</v>
      </c>
      <c r="S42" s="506" t="s">
        <v>109</v>
      </c>
      <c r="T42" s="506" t="s">
        <v>8</v>
      </c>
      <c r="U42" s="506" t="s">
        <v>110</v>
      </c>
      <c r="V42" s="506" t="s">
        <v>111</v>
      </c>
      <c r="W42" s="512"/>
      <c r="X42" s="504"/>
      <c r="Y42" s="504"/>
      <c r="Z42" s="507"/>
    </row>
    <row r="43" spans="2:26" ht="15" customHeight="1">
      <c r="B43" s="521">
        <v>1</v>
      </c>
      <c r="C43" s="519" t="s">
        <v>306</v>
      </c>
      <c r="D43" s="52"/>
      <c r="E43" s="520" t="s">
        <v>145</v>
      </c>
      <c r="F43" s="520" t="s">
        <v>142</v>
      </c>
      <c r="G43" s="520" t="s">
        <v>151</v>
      </c>
      <c r="H43" s="520" t="s">
        <v>152</v>
      </c>
      <c r="I43" s="520" t="s">
        <v>637</v>
      </c>
      <c r="J43" s="520" t="s">
        <v>153</v>
      </c>
      <c r="K43" s="520" t="s">
        <v>140</v>
      </c>
      <c r="L43" s="520" t="s">
        <v>165</v>
      </c>
      <c r="M43" s="520" t="s">
        <v>537</v>
      </c>
      <c r="N43" s="521">
        <v>12</v>
      </c>
      <c r="O43" s="521">
        <v>9</v>
      </c>
      <c r="P43" s="521">
        <v>5</v>
      </c>
      <c r="Q43" s="521">
        <v>2</v>
      </c>
      <c r="R43" s="521">
        <v>2</v>
      </c>
      <c r="S43" s="521" t="s">
        <v>826</v>
      </c>
      <c r="T43" s="521" t="s">
        <v>294</v>
      </c>
      <c r="U43" s="521" t="s">
        <v>827</v>
      </c>
      <c r="V43" s="521" t="s">
        <v>275</v>
      </c>
      <c r="W43" s="521">
        <v>16</v>
      </c>
      <c r="X43" s="504"/>
      <c r="Y43" s="504"/>
      <c r="Z43" s="507"/>
    </row>
    <row r="44" spans="2:26" ht="15" customHeight="1">
      <c r="B44" s="521">
        <v>2</v>
      </c>
      <c r="C44" s="519" t="s">
        <v>52</v>
      </c>
      <c r="D44" s="520" t="s">
        <v>146</v>
      </c>
      <c r="E44" s="52"/>
      <c r="F44" s="520" t="s">
        <v>140</v>
      </c>
      <c r="G44" s="520" t="s">
        <v>148</v>
      </c>
      <c r="H44" s="520" t="s">
        <v>146</v>
      </c>
      <c r="I44" s="520" t="s">
        <v>152</v>
      </c>
      <c r="J44" s="520" t="s">
        <v>143</v>
      </c>
      <c r="K44" s="520" t="s">
        <v>155</v>
      </c>
      <c r="L44" s="520" t="s">
        <v>149</v>
      </c>
      <c r="M44" s="520" t="s">
        <v>157</v>
      </c>
      <c r="N44" s="521">
        <v>11</v>
      </c>
      <c r="O44" s="521">
        <v>9</v>
      </c>
      <c r="P44" s="521">
        <v>5</v>
      </c>
      <c r="Q44" s="521">
        <v>1</v>
      </c>
      <c r="R44" s="521">
        <v>3</v>
      </c>
      <c r="S44" s="521" t="s">
        <v>777</v>
      </c>
      <c r="T44" s="521" t="s">
        <v>293</v>
      </c>
      <c r="U44" s="521" t="s">
        <v>828</v>
      </c>
      <c r="V44" s="521" t="s">
        <v>275</v>
      </c>
      <c r="W44" s="521">
        <v>16</v>
      </c>
      <c r="X44" s="504"/>
      <c r="Y44" s="504"/>
      <c r="Z44" s="507"/>
    </row>
    <row r="45" spans="2:26" ht="15" customHeight="1">
      <c r="B45" s="521">
        <v>3</v>
      </c>
      <c r="C45" s="519" t="s">
        <v>238</v>
      </c>
      <c r="D45" s="520" t="s">
        <v>141</v>
      </c>
      <c r="E45" s="520" t="s">
        <v>140</v>
      </c>
      <c r="F45" s="52"/>
      <c r="G45" s="520" t="s">
        <v>151</v>
      </c>
      <c r="H45" s="520" t="s">
        <v>154</v>
      </c>
      <c r="I45" s="520" t="s">
        <v>148</v>
      </c>
      <c r="J45" s="520" t="s">
        <v>151</v>
      </c>
      <c r="K45" s="520" t="s">
        <v>140</v>
      </c>
      <c r="L45" s="520" t="s">
        <v>146</v>
      </c>
      <c r="M45" s="520" t="s">
        <v>143</v>
      </c>
      <c r="N45" s="521">
        <v>10</v>
      </c>
      <c r="O45" s="521">
        <v>9</v>
      </c>
      <c r="P45" s="521">
        <v>3</v>
      </c>
      <c r="Q45" s="521">
        <v>4</v>
      </c>
      <c r="R45" s="521">
        <v>2</v>
      </c>
      <c r="S45" s="521" t="s">
        <v>830</v>
      </c>
      <c r="T45" s="521" t="s">
        <v>282</v>
      </c>
      <c r="U45" s="521" t="s">
        <v>831</v>
      </c>
      <c r="V45" s="521" t="s">
        <v>275</v>
      </c>
      <c r="W45" s="521">
        <v>16</v>
      </c>
      <c r="X45" s="504"/>
      <c r="Y45" s="504"/>
      <c r="Z45" s="507"/>
    </row>
    <row r="46" spans="2:26" ht="15" customHeight="1">
      <c r="B46" s="522">
        <v>4</v>
      </c>
      <c r="C46" s="517" t="s">
        <v>119</v>
      </c>
      <c r="D46" s="518" t="s">
        <v>151</v>
      </c>
      <c r="E46" s="518" t="s">
        <v>147</v>
      </c>
      <c r="F46" s="518" t="s">
        <v>151</v>
      </c>
      <c r="G46" s="52"/>
      <c r="H46" s="518" t="s">
        <v>153</v>
      </c>
      <c r="I46" s="518" t="s">
        <v>249</v>
      </c>
      <c r="J46" s="518" t="s">
        <v>162</v>
      </c>
      <c r="K46" s="518" t="s">
        <v>167</v>
      </c>
      <c r="L46" s="518" t="s">
        <v>157</v>
      </c>
      <c r="M46" s="518" t="s">
        <v>153</v>
      </c>
      <c r="N46" s="522">
        <v>10</v>
      </c>
      <c r="O46" s="522">
        <v>9</v>
      </c>
      <c r="P46" s="522">
        <v>4</v>
      </c>
      <c r="Q46" s="522">
        <v>2</v>
      </c>
      <c r="R46" s="522">
        <v>3</v>
      </c>
      <c r="S46" s="522" t="s">
        <v>829</v>
      </c>
      <c r="T46" s="522" t="s">
        <v>291</v>
      </c>
      <c r="U46" s="522" t="s">
        <v>813</v>
      </c>
      <c r="V46" s="522" t="s">
        <v>275</v>
      </c>
      <c r="W46" s="522">
        <v>16</v>
      </c>
      <c r="X46" s="504"/>
      <c r="Y46" s="504"/>
      <c r="Z46" s="507"/>
    </row>
    <row r="47" spans="2:26" ht="15" customHeight="1">
      <c r="B47" s="522">
        <v>5</v>
      </c>
      <c r="C47" s="517" t="s">
        <v>309</v>
      </c>
      <c r="D47" s="518" t="s">
        <v>153</v>
      </c>
      <c r="E47" s="518" t="s">
        <v>145</v>
      </c>
      <c r="F47" s="518" t="s">
        <v>155</v>
      </c>
      <c r="G47" s="518" t="s">
        <v>152</v>
      </c>
      <c r="H47" s="52"/>
      <c r="I47" s="518" t="s">
        <v>155</v>
      </c>
      <c r="J47" s="518" t="s">
        <v>141</v>
      </c>
      <c r="K47" s="518" t="s">
        <v>158</v>
      </c>
      <c r="L47" s="518" t="s">
        <v>152</v>
      </c>
      <c r="M47" s="518" t="s">
        <v>152</v>
      </c>
      <c r="N47" s="522">
        <v>10</v>
      </c>
      <c r="O47" s="522">
        <v>9</v>
      </c>
      <c r="P47" s="522">
        <v>5</v>
      </c>
      <c r="Q47" s="522">
        <v>0</v>
      </c>
      <c r="R47" s="522">
        <v>4</v>
      </c>
      <c r="S47" s="522" t="s">
        <v>832</v>
      </c>
      <c r="T47" s="522" t="s">
        <v>280</v>
      </c>
      <c r="U47" s="522" t="s">
        <v>833</v>
      </c>
      <c r="V47" s="522" t="s">
        <v>275</v>
      </c>
      <c r="W47" s="522" t="s">
        <v>175</v>
      </c>
      <c r="X47" s="504"/>
      <c r="Y47" s="504"/>
      <c r="Z47" s="507"/>
    </row>
    <row r="48" spans="2:26" ht="15" customHeight="1">
      <c r="B48" s="513">
        <v>6</v>
      </c>
      <c r="C48" s="516" t="s">
        <v>302</v>
      </c>
      <c r="D48" s="53" t="s">
        <v>638</v>
      </c>
      <c r="E48" s="53" t="s">
        <v>153</v>
      </c>
      <c r="F48" s="53" t="s">
        <v>147</v>
      </c>
      <c r="G48" s="53" t="s">
        <v>250</v>
      </c>
      <c r="H48" s="53" t="s">
        <v>154</v>
      </c>
      <c r="I48" s="52"/>
      <c r="J48" s="53" t="s">
        <v>146</v>
      </c>
      <c r="K48" s="53" t="s">
        <v>143</v>
      </c>
      <c r="L48" s="53" t="s">
        <v>152</v>
      </c>
      <c r="M48" s="53" t="s">
        <v>160</v>
      </c>
      <c r="N48" s="513">
        <v>10</v>
      </c>
      <c r="O48" s="513">
        <v>9</v>
      </c>
      <c r="P48" s="513">
        <v>5</v>
      </c>
      <c r="Q48" s="513">
        <v>0</v>
      </c>
      <c r="R48" s="513">
        <v>4</v>
      </c>
      <c r="S48" s="513" t="s">
        <v>834</v>
      </c>
      <c r="T48" s="513" t="s">
        <v>288</v>
      </c>
      <c r="U48" s="513" t="s">
        <v>813</v>
      </c>
      <c r="V48" s="513" t="s">
        <v>275</v>
      </c>
      <c r="W48" s="513" t="s">
        <v>174</v>
      </c>
      <c r="X48" s="504"/>
      <c r="Y48" s="504"/>
      <c r="Z48" s="507"/>
    </row>
    <row r="49" spans="2:26" ht="15" customHeight="1">
      <c r="B49" s="513">
        <v>7</v>
      </c>
      <c r="C49" s="516" t="s">
        <v>118</v>
      </c>
      <c r="D49" s="53" t="s">
        <v>152</v>
      </c>
      <c r="E49" s="53" t="s">
        <v>144</v>
      </c>
      <c r="F49" s="53" t="s">
        <v>151</v>
      </c>
      <c r="G49" s="53" t="s">
        <v>163</v>
      </c>
      <c r="H49" s="53" t="s">
        <v>142</v>
      </c>
      <c r="I49" s="53" t="s">
        <v>145</v>
      </c>
      <c r="J49" s="52"/>
      <c r="K49" s="53" t="s">
        <v>157</v>
      </c>
      <c r="L49" s="53" t="s">
        <v>146</v>
      </c>
      <c r="M49" s="53" t="s">
        <v>163</v>
      </c>
      <c r="N49" s="513">
        <v>9</v>
      </c>
      <c r="O49" s="513">
        <v>9</v>
      </c>
      <c r="P49" s="513">
        <v>4</v>
      </c>
      <c r="Q49" s="513">
        <v>1</v>
      </c>
      <c r="R49" s="513">
        <v>4</v>
      </c>
      <c r="S49" s="513" t="s">
        <v>835</v>
      </c>
      <c r="T49" s="513" t="s">
        <v>289</v>
      </c>
      <c r="U49" s="513" t="s">
        <v>776</v>
      </c>
      <c r="V49" s="513" t="s">
        <v>275</v>
      </c>
      <c r="W49" s="513" t="s">
        <v>139</v>
      </c>
      <c r="X49" s="504"/>
      <c r="Y49" s="504"/>
      <c r="Z49" s="507"/>
    </row>
    <row r="50" spans="2:26" ht="15" customHeight="1">
      <c r="B50" s="513">
        <v>8</v>
      </c>
      <c r="C50" s="516" t="s">
        <v>322</v>
      </c>
      <c r="D50" s="53" t="s">
        <v>140</v>
      </c>
      <c r="E50" s="53" t="s">
        <v>154</v>
      </c>
      <c r="F50" s="53" t="s">
        <v>140</v>
      </c>
      <c r="G50" s="53" t="s">
        <v>168</v>
      </c>
      <c r="H50" s="53" t="s">
        <v>159</v>
      </c>
      <c r="I50" s="53" t="s">
        <v>144</v>
      </c>
      <c r="J50" s="53" t="s">
        <v>156</v>
      </c>
      <c r="K50" s="52"/>
      <c r="L50" s="53" t="s">
        <v>148</v>
      </c>
      <c r="M50" s="53" t="s">
        <v>845</v>
      </c>
      <c r="N50" s="513">
        <v>8</v>
      </c>
      <c r="O50" s="513">
        <v>9</v>
      </c>
      <c r="P50" s="513">
        <v>3</v>
      </c>
      <c r="Q50" s="513">
        <v>2</v>
      </c>
      <c r="R50" s="513">
        <v>4</v>
      </c>
      <c r="S50" s="513" t="s">
        <v>836</v>
      </c>
      <c r="T50" s="513" t="s">
        <v>295</v>
      </c>
      <c r="U50" s="513" t="s">
        <v>816</v>
      </c>
      <c r="V50" s="513" t="s">
        <v>275</v>
      </c>
      <c r="W50" s="513" t="s">
        <v>132</v>
      </c>
      <c r="X50" s="504"/>
      <c r="Y50" s="504"/>
      <c r="Z50" s="507"/>
    </row>
    <row r="51" spans="2:26" ht="15" customHeight="1">
      <c r="B51" s="513">
        <v>9</v>
      </c>
      <c r="C51" s="516" t="s">
        <v>29</v>
      </c>
      <c r="D51" s="264" t="s">
        <v>166</v>
      </c>
      <c r="E51" s="264" t="s">
        <v>150</v>
      </c>
      <c r="F51" s="264" t="s">
        <v>145</v>
      </c>
      <c r="G51" s="264" t="s">
        <v>156</v>
      </c>
      <c r="H51" s="264" t="s">
        <v>153</v>
      </c>
      <c r="I51" s="264" t="s">
        <v>153</v>
      </c>
      <c r="J51" s="264" t="s">
        <v>145</v>
      </c>
      <c r="K51" s="264" t="s">
        <v>147</v>
      </c>
      <c r="L51" s="52"/>
      <c r="M51" s="264" t="s">
        <v>145</v>
      </c>
      <c r="N51" s="513">
        <v>6</v>
      </c>
      <c r="O51" s="513">
        <v>9</v>
      </c>
      <c r="P51" s="513">
        <v>3</v>
      </c>
      <c r="Q51" s="513">
        <v>0</v>
      </c>
      <c r="R51" s="513">
        <v>6</v>
      </c>
      <c r="S51" s="513" t="s">
        <v>837</v>
      </c>
      <c r="T51" s="513" t="s">
        <v>838</v>
      </c>
      <c r="U51" s="513" t="s">
        <v>839</v>
      </c>
      <c r="V51" s="513" t="s">
        <v>275</v>
      </c>
      <c r="W51" s="513" t="s">
        <v>176</v>
      </c>
      <c r="X51" s="504"/>
      <c r="Y51" s="504"/>
      <c r="Z51" s="507"/>
    </row>
    <row r="52" spans="2:26" ht="15" customHeight="1">
      <c r="B52" s="513" t="s">
        <v>842</v>
      </c>
      <c r="C52" s="516" t="s">
        <v>314</v>
      </c>
      <c r="D52" s="53" t="s">
        <v>536</v>
      </c>
      <c r="E52" s="53" t="s">
        <v>156</v>
      </c>
      <c r="F52" s="53" t="s">
        <v>144</v>
      </c>
      <c r="G52" s="53" t="s">
        <v>152</v>
      </c>
      <c r="H52" s="53" t="s">
        <v>153</v>
      </c>
      <c r="I52" s="53" t="s">
        <v>161</v>
      </c>
      <c r="J52" s="53" t="s">
        <v>162</v>
      </c>
      <c r="K52" s="53" t="s">
        <v>846</v>
      </c>
      <c r="L52" s="53" t="s">
        <v>146</v>
      </c>
      <c r="M52" s="52"/>
      <c r="N52" s="513">
        <v>3</v>
      </c>
      <c r="O52" s="513">
        <v>9</v>
      </c>
      <c r="P52" s="513">
        <v>2</v>
      </c>
      <c r="Q52" s="513">
        <v>0</v>
      </c>
      <c r="R52" s="513">
        <v>7</v>
      </c>
      <c r="S52" s="513" t="s">
        <v>840</v>
      </c>
      <c r="T52" s="513" t="s">
        <v>841</v>
      </c>
      <c r="U52" s="513" t="s">
        <v>805</v>
      </c>
      <c r="V52" s="513" t="s">
        <v>277</v>
      </c>
      <c r="W52" s="513" t="s">
        <v>843</v>
      </c>
      <c r="X52" s="508"/>
      <c r="Y52" s="504"/>
      <c r="Z52" s="509"/>
    </row>
    <row r="53" ht="15">
      <c r="C53" s="180" t="s">
        <v>847</v>
      </c>
    </row>
    <row r="54" spans="3:10" ht="15">
      <c r="C54" s="373" t="s">
        <v>309</v>
      </c>
      <c r="D54" s="374" t="s">
        <v>540</v>
      </c>
      <c r="E54" s="605" t="s">
        <v>302</v>
      </c>
      <c r="F54" s="605"/>
      <c r="G54" s="605"/>
      <c r="H54" s="372" t="s">
        <v>166</v>
      </c>
      <c r="I54" s="372" t="s">
        <v>848</v>
      </c>
      <c r="J54" s="372"/>
    </row>
    <row r="55" ht="15">
      <c r="C55" s="561" t="s">
        <v>849</v>
      </c>
    </row>
    <row r="56" spans="3:9" ht="15">
      <c r="C56" s="562" t="s">
        <v>121</v>
      </c>
      <c r="E56" s="182" t="s">
        <v>671</v>
      </c>
      <c r="H56" s="372" t="s">
        <v>156</v>
      </c>
      <c r="I56" s="372" t="s">
        <v>850</v>
      </c>
    </row>
    <row r="57" spans="3:9" ht="15">
      <c r="C57" s="561" t="s">
        <v>34</v>
      </c>
      <c r="E57" s="180" t="s">
        <v>851</v>
      </c>
      <c r="H57" s="372" t="s">
        <v>142</v>
      </c>
      <c r="I57" s="372" t="s">
        <v>852</v>
      </c>
    </row>
    <row r="58" spans="3:9" ht="15">
      <c r="C58" s="562" t="s">
        <v>307</v>
      </c>
      <c r="E58" s="182" t="s">
        <v>124</v>
      </c>
      <c r="H58" s="372" t="s">
        <v>140</v>
      </c>
      <c r="I58" s="372" t="s">
        <v>853</v>
      </c>
    </row>
    <row r="59" spans="3:9" ht="15">
      <c r="C59" s="561" t="s">
        <v>119</v>
      </c>
      <c r="E59" s="180" t="s">
        <v>302</v>
      </c>
      <c r="H59" s="372" t="s">
        <v>149</v>
      </c>
      <c r="I59" s="372" t="s">
        <v>854</v>
      </c>
    </row>
    <row r="60" spans="8:9" ht="15">
      <c r="H60" s="372"/>
      <c r="I60" s="372"/>
    </row>
    <row r="61" ht="18.75">
      <c r="C61" s="552" t="s">
        <v>903</v>
      </c>
    </row>
    <row r="62" spans="2:12" ht="15" customHeight="1">
      <c r="B62" s="505" t="s">
        <v>904</v>
      </c>
      <c r="C62" s="510"/>
      <c r="D62" s="510"/>
      <c r="E62" s="510"/>
      <c r="F62" s="510"/>
      <c r="G62" s="510"/>
      <c r="H62" s="510"/>
      <c r="I62" s="556"/>
      <c r="J62" s="510"/>
      <c r="K62" s="510"/>
      <c r="L62" s="511"/>
    </row>
    <row r="63" spans="2:12" ht="15">
      <c r="B63" s="506" t="s">
        <v>70</v>
      </c>
      <c r="C63" s="506" t="s">
        <v>71</v>
      </c>
      <c r="D63" s="506" t="s">
        <v>905</v>
      </c>
      <c r="E63" s="506" t="s">
        <v>2</v>
      </c>
      <c r="F63" s="506" t="s">
        <v>3</v>
      </c>
      <c r="G63" s="506" t="s">
        <v>4</v>
      </c>
      <c r="H63" s="506" t="s">
        <v>5</v>
      </c>
      <c r="I63" s="557" t="s">
        <v>109</v>
      </c>
      <c r="J63" s="506" t="s">
        <v>8</v>
      </c>
      <c r="K63" s="506" t="s">
        <v>110</v>
      </c>
      <c r="L63" s="512"/>
    </row>
    <row r="64" spans="2:12" ht="15">
      <c r="B64" s="553" t="s">
        <v>906</v>
      </c>
      <c r="C64" s="563" t="s">
        <v>34</v>
      </c>
      <c r="D64" s="555">
        <v>2</v>
      </c>
      <c r="E64" s="555">
        <v>3</v>
      </c>
      <c r="F64" s="555">
        <v>2</v>
      </c>
      <c r="G64" s="555">
        <v>0</v>
      </c>
      <c r="H64" s="555">
        <v>1</v>
      </c>
      <c r="I64" s="558" t="s">
        <v>915</v>
      </c>
      <c r="J64" s="555">
        <v>7</v>
      </c>
      <c r="K64" s="555">
        <v>76</v>
      </c>
      <c r="L64" s="558" t="s">
        <v>547</v>
      </c>
    </row>
    <row r="65" spans="2:12" ht="15">
      <c r="B65" s="554" t="s">
        <v>907</v>
      </c>
      <c r="C65" s="516" t="s">
        <v>301</v>
      </c>
      <c r="D65" s="513">
        <v>1</v>
      </c>
      <c r="E65" s="513">
        <v>3</v>
      </c>
      <c r="F65" s="513">
        <v>1</v>
      </c>
      <c r="G65" s="513">
        <v>0</v>
      </c>
      <c r="H65" s="513">
        <v>2</v>
      </c>
      <c r="I65" s="559" t="s">
        <v>916</v>
      </c>
      <c r="J65" s="513">
        <v>-7</v>
      </c>
      <c r="K65" s="513">
        <v>60</v>
      </c>
      <c r="L65" s="559" t="s">
        <v>774</v>
      </c>
    </row>
    <row r="66" spans="2:12" ht="15" customHeight="1">
      <c r="B66" s="505" t="s">
        <v>908</v>
      </c>
      <c r="C66" s="510"/>
      <c r="D66" s="514"/>
      <c r="E66" s="514"/>
      <c r="F66" s="514"/>
      <c r="G66" s="514"/>
      <c r="H66" s="514"/>
      <c r="I66" s="560"/>
      <c r="J66" s="514"/>
      <c r="K66" s="514"/>
      <c r="L66" s="515"/>
    </row>
    <row r="67" spans="2:12" ht="15">
      <c r="B67" s="506" t="s">
        <v>70</v>
      </c>
      <c r="C67" s="506" t="s">
        <v>71</v>
      </c>
      <c r="D67" s="506" t="s">
        <v>905</v>
      </c>
      <c r="E67" s="506" t="s">
        <v>2</v>
      </c>
      <c r="F67" s="506" t="s">
        <v>3</v>
      </c>
      <c r="G67" s="506" t="s">
        <v>4</v>
      </c>
      <c r="H67" s="506" t="s">
        <v>5</v>
      </c>
      <c r="I67" s="557" t="s">
        <v>109</v>
      </c>
      <c r="J67" s="506" t="s">
        <v>8</v>
      </c>
      <c r="K67" s="506" t="s">
        <v>110</v>
      </c>
      <c r="L67" s="506"/>
    </row>
    <row r="68" spans="2:12" ht="15">
      <c r="B68" s="553" t="s">
        <v>906</v>
      </c>
      <c r="C68" s="563" t="s">
        <v>123</v>
      </c>
      <c r="D68" s="555">
        <v>2</v>
      </c>
      <c r="E68" s="555">
        <v>3</v>
      </c>
      <c r="F68" s="555">
        <v>2</v>
      </c>
      <c r="G68" s="555">
        <v>0</v>
      </c>
      <c r="H68" s="555">
        <v>1</v>
      </c>
      <c r="I68" s="558" t="s">
        <v>917</v>
      </c>
      <c r="J68" s="555">
        <v>1</v>
      </c>
      <c r="K68" s="555">
        <v>68</v>
      </c>
      <c r="L68" s="558" t="s">
        <v>547</v>
      </c>
    </row>
    <row r="69" spans="2:12" ht="15">
      <c r="B69" s="554" t="s">
        <v>907</v>
      </c>
      <c r="C69" s="516" t="s">
        <v>303</v>
      </c>
      <c r="D69" s="513">
        <v>1</v>
      </c>
      <c r="E69" s="513">
        <v>3</v>
      </c>
      <c r="F69" s="513">
        <v>1</v>
      </c>
      <c r="G69" s="513">
        <v>0</v>
      </c>
      <c r="H69" s="513">
        <v>2</v>
      </c>
      <c r="I69" s="559" t="s">
        <v>918</v>
      </c>
      <c r="J69" s="513">
        <v>-1</v>
      </c>
      <c r="K69" s="513">
        <v>68</v>
      </c>
      <c r="L69" s="559" t="s">
        <v>774</v>
      </c>
    </row>
    <row r="70" spans="2:12" ht="15" customHeight="1">
      <c r="B70" s="505" t="s">
        <v>909</v>
      </c>
      <c r="C70" s="510"/>
      <c r="D70" s="514"/>
      <c r="E70" s="514"/>
      <c r="F70" s="514"/>
      <c r="G70" s="514"/>
      <c r="H70" s="514"/>
      <c r="I70" s="560"/>
      <c r="J70" s="514"/>
      <c r="K70" s="514"/>
      <c r="L70" s="515"/>
    </row>
    <row r="71" spans="2:12" ht="15">
      <c r="B71" s="506" t="s">
        <v>70</v>
      </c>
      <c r="C71" s="506" t="s">
        <v>71</v>
      </c>
      <c r="D71" s="506" t="s">
        <v>905</v>
      </c>
      <c r="E71" s="506" t="s">
        <v>2</v>
      </c>
      <c r="F71" s="506" t="s">
        <v>3</v>
      </c>
      <c r="G71" s="506" t="s">
        <v>4</v>
      </c>
      <c r="H71" s="506" t="s">
        <v>5</v>
      </c>
      <c r="I71" s="557" t="s">
        <v>109</v>
      </c>
      <c r="J71" s="506" t="s">
        <v>8</v>
      </c>
      <c r="K71" s="506" t="s">
        <v>110</v>
      </c>
      <c r="L71" s="506"/>
    </row>
    <row r="72" spans="2:12" ht="15">
      <c r="B72" s="553" t="s">
        <v>906</v>
      </c>
      <c r="C72" s="563" t="s">
        <v>28</v>
      </c>
      <c r="D72" s="555">
        <v>2</v>
      </c>
      <c r="E72" s="555">
        <v>2</v>
      </c>
      <c r="F72" s="555">
        <v>2</v>
      </c>
      <c r="G72" s="555">
        <v>0</v>
      </c>
      <c r="H72" s="555">
        <v>0</v>
      </c>
      <c r="I72" s="558" t="s">
        <v>919</v>
      </c>
      <c r="J72" s="555">
        <v>6</v>
      </c>
      <c r="K72" s="555">
        <v>53</v>
      </c>
      <c r="L72" s="558" t="s">
        <v>547</v>
      </c>
    </row>
    <row r="73" spans="2:12" ht="15">
      <c r="B73" s="554" t="s">
        <v>907</v>
      </c>
      <c r="C73" s="516" t="s">
        <v>126</v>
      </c>
      <c r="D73" s="513">
        <v>0</v>
      </c>
      <c r="E73" s="513">
        <v>2</v>
      </c>
      <c r="F73" s="513">
        <v>0</v>
      </c>
      <c r="G73" s="513">
        <v>0</v>
      </c>
      <c r="H73" s="513">
        <v>2</v>
      </c>
      <c r="I73" s="559" t="s">
        <v>920</v>
      </c>
      <c r="J73" s="513">
        <v>-6</v>
      </c>
      <c r="K73" s="513">
        <v>39</v>
      </c>
      <c r="L73" s="559" t="s">
        <v>774</v>
      </c>
    </row>
    <row r="74" spans="2:12" ht="15" customHeight="1">
      <c r="B74" s="505" t="s">
        <v>910</v>
      </c>
      <c r="C74" s="510"/>
      <c r="D74" s="514"/>
      <c r="E74" s="514"/>
      <c r="F74" s="514"/>
      <c r="G74" s="514"/>
      <c r="H74" s="514"/>
      <c r="I74" s="560"/>
      <c r="J74" s="514"/>
      <c r="K74" s="514"/>
      <c r="L74" s="515"/>
    </row>
    <row r="75" spans="2:12" ht="15">
      <c r="B75" s="506" t="s">
        <v>70</v>
      </c>
      <c r="C75" s="506" t="s">
        <v>71</v>
      </c>
      <c r="D75" s="506" t="s">
        <v>905</v>
      </c>
      <c r="E75" s="506" t="s">
        <v>2</v>
      </c>
      <c r="F75" s="506" t="s">
        <v>3</v>
      </c>
      <c r="G75" s="506" t="s">
        <v>4</v>
      </c>
      <c r="H75" s="506" t="s">
        <v>5</v>
      </c>
      <c r="I75" s="557" t="s">
        <v>109</v>
      </c>
      <c r="J75" s="506" t="s">
        <v>8</v>
      </c>
      <c r="K75" s="506" t="s">
        <v>110</v>
      </c>
      <c r="L75" s="506"/>
    </row>
    <row r="76" spans="2:12" ht="15">
      <c r="B76" s="553" t="s">
        <v>906</v>
      </c>
      <c r="C76" s="563" t="s">
        <v>671</v>
      </c>
      <c r="D76" s="555">
        <v>2</v>
      </c>
      <c r="E76" s="555">
        <v>5</v>
      </c>
      <c r="F76" s="555">
        <v>2</v>
      </c>
      <c r="G76" s="555">
        <v>2</v>
      </c>
      <c r="H76" s="555">
        <v>1</v>
      </c>
      <c r="I76" s="558" t="s">
        <v>921</v>
      </c>
      <c r="J76" s="555">
        <v>1</v>
      </c>
      <c r="K76" s="555">
        <v>116</v>
      </c>
      <c r="L76" s="558" t="s">
        <v>547</v>
      </c>
    </row>
    <row r="77" spans="2:12" ht="15">
      <c r="B77" s="554" t="s">
        <v>907</v>
      </c>
      <c r="C77" s="516" t="s">
        <v>235</v>
      </c>
      <c r="D77" s="513">
        <v>1</v>
      </c>
      <c r="E77" s="513">
        <v>5</v>
      </c>
      <c r="F77" s="513">
        <v>1</v>
      </c>
      <c r="G77" s="513">
        <v>2</v>
      </c>
      <c r="H77" s="513">
        <v>2</v>
      </c>
      <c r="I77" s="559" t="s">
        <v>922</v>
      </c>
      <c r="J77" s="513">
        <v>-1</v>
      </c>
      <c r="K77" s="513">
        <v>109</v>
      </c>
      <c r="L77" s="559" t="s">
        <v>774</v>
      </c>
    </row>
    <row r="78" spans="2:12" ht="15" customHeight="1">
      <c r="B78" s="505" t="s">
        <v>911</v>
      </c>
      <c r="C78" s="510"/>
      <c r="D78" s="514"/>
      <c r="E78" s="514"/>
      <c r="F78" s="514"/>
      <c r="G78" s="514"/>
      <c r="H78" s="514"/>
      <c r="I78" s="560"/>
      <c r="J78" s="514"/>
      <c r="K78" s="514"/>
      <c r="L78" s="515"/>
    </row>
    <row r="79" spans="2:12" ht="15">
      <c r="B79" s="506" t="s">
        <v>70</v>
      </c>
      <c r="C79" s="506" t="s">
        <v>71</v>
      </c>
      <c r="D79" s="506" t="s">
        <v>905</v>
      </c>
      <c r="E79" s="506" t="s">
        <v>2</v>
      </c>
      <c r="F79" s="506" t="s">
        <v>3</v>
      </c>
      <c r="G79" s="506" t="s">
        <v>4</v>
      </c>
      <c r="H79" s="506" t="s">
        <v>5</v>
      </c>
      <c r="I79" s="557" t="s">
        <v>109</v>
      </c>
      <c r="J79" s="506" t="s">
        <v>8</v>
      </c>
      <c r="K79" s="506" t="s">
        <v>110</v>
      </c>
      <c r="L79" s="506"/>
    </row>
    <row r="80" spans="2:12" ht="15">
      <c r="B80" s="553" t="s">
        <v>906</v>
      </c>
      <c r="C80" s="563" t="s">
        <v>316</v>
      </c>
      <c r="D80" s="555">
        <v>2</v>
      </c>
      <c r="E80" s="555">
        <v>6</v>
      </c>
      <c r="F80" s="555">
        <v>2</v>
      </c>
      <c r="G80" s="555">
        <v>3</v>
      </c>
      <c r="H80" s="555">
        <v>1</v>
      </c>
      <c r="I80" s="558" t="s">
        <v>927</v>
      </c>
      <c r="J80" s="555"/>
      <c r="K80" s="555">
        <v>131</v>
      </c>
      <c r="L80" s="558" t="s">
        <v>547</v>
      </c>
    </row>
    <row r="81" spans="2:12" ht="15">
      <c r="B81" s="554" t="s">
        <v>907</v>
      </c>
      <c r="C81" s="516" t="s">
        <v>119</v>
      </c>
      <c r="D81" s="513">
        <v>1</v>
      </c>
      <c r="E81" s="513">
        <v>6</v>
      </c>
      <c r="F81" s="513">
        <v>1</v>
      </c>
      <c r="G81" s="513">
        <v>3</v>
      </c>
      <c r="H81" s="513">
        <v>2</v>
      </c>
      <c r="I81" s="559" t="s">
        <v>927</v>
      </c>
      <c r="J81" s="513"/>
      <c r="K81" s="513">
        <v>141</v>
      </c>
      <c r="L81" s="559" t="s">
        <v>774</v>
      </c>
    </row>
    <row r="82" spans="2:12" ht="15" customHeight="1">
      <c r="B82" s="505" t="s">
        <v>912</v>
      </c>
      <c r="C82" s="510"/>
      <c r="D82" s="514"/>
      <c r="E82" s="514"/>
      <c r="F82" s="514"/>
      <c r="G82" s="514"/>
      <c r="H82" s="514"/>
      <c r="I82" s="560"/>
      <c r="J82" s="514"/>
      <c r="K82" s="514"/>
      <c r="L82" s="515"/>
    </row>
    <row r="83" spans="2:12" ht="15">
      <c r="B83" s="506" t="s">
        <v>70</v>
      </c>
      <c r="C83" s="506" t="s">
        <v>71</v>
      </c>
      <c r="D83" s="506" t="s">
        <v>905</v>
      </c>
      <c r="E83" s="506" t="s">
        <v>2</v>
      </c>
      <c r="F83" s="506" t="s">
        <v>3</v>
      </c>
      <c r="G83" s="506" t="s">
        <v>4</v>
      </c>
      <c r="H83" s="506" t="s">
        <v>5</v>
      </c>
      <c r="I83" s="557" t="s">
        <v>109</v>
      </c>
      <c r="J83" s="506" t="s">
        <v>8</v>
      </c>
      <c r="K83" s="506" t="s">
        <v>110</v>
      </c>
      <c r="L83" s="506"/>
    </row>
    <row r="84" spans="2:12" ht="15">
      <c r="B84" s="553" t="s">
        <v>906</v>
      </c>
      <c r="C84" s="563" t="s">
        <v>117</v>
      </c>
      <c r="D84" s="555">
        <v>2</v>
      </c>
      <c r="E84" s="555">
        <v>4</v>
      </c>
      <c r="F84" s="555">
        <v>2</v>
      </c>
      <c r="G84" s="555">
        <v>2</v>
      </c>
      <c r="H84" s="555">
        <v>0</v>
      </c>
      <c r="I84" s="558">
        <v>42135</v>
      </c>
      <c r="J84" s="555">
        <v>6</v>
      </c>
      <c r="K84" s="555">
        <v>91</v>
      </c>
      <c r="L84" s="558" t="s">
        <v>547</v>
      </c>
    </row>
    <row r="85" spans="2:12" ht="15">
      <c r="B85" s="554" t="s">
        <v>907</v>
      </c>
      <c r="C85" s="516" t="s">
        <v>238</v>
      </c>
      <c r="D85" s="513">
        <v>0</v>
      </c>
      <c r="E85" s="513">
        <v>4</v>
      </c>
      <c r="F85" s="513">
        <v>0</v>
      </c>
      <c r="G85" s="513">
        <v>2</v>
      </c>
      <c r="H85" s="513">
        <v>2</v>
      </c>
      <c r="I85" s="559">
        <v>42313</v>
      </c>
      <c r="J85" s="513">
        <v>-6</v>
      </c>
      <c r="K85" s="513">
        <v>77</v>
      </c>
      <c r="L85" s="559" t="s">
        <v>774</v>
      </c>
    </row>
    <row r="86" spans="2:12" ht="15" customHeight="1">
      <c r="B86" s="505" t="s">
        <v>913</v>
      </c>
      <c r="C86" s="510"/>
      <c r="D86" s="514"/>
      <c r="E86" s="514"/>
      <c r="F86" s="514"/>
      <c r="G86" s="514"/>
      <c r="H86" s="514"/>
      <c r="I86" s="560"/>
      <c r="J86" s="514"/>
      <c r="K86" s="514"/>
      <c r="L86" s="515"/>
    </row>
    <row r="87" spans="2:12" ht="15">
      <c r="B87" s="506" t="s">
        <v>70</v>
      </c>
      <c r="C87" s="506" t="s">
        <v>71</v>
      </c>
      <c r="D87" s="506" t="s">
        <v>905</v>
      </c>
      <c r="E87" s="506" t="s">
        <v>2</v>
      </c>
      <c r="F87" s="506" t="s">
        <v>3</v>
      </c>
      <c r="G87" s="506" t="s">
        <v>4</v>
      </c>
      <c r="H87" s="506" t="s">
        <v>5</v>
      </c>
      <c r="I87" s="557" t="s">
        <v>109</v>
      </c>
      <c r="J87" s="506" t="s">
        <v>8</v>
      </c>
      <c r="K87" s="506" t="s">
        <v>110</v>
      </c>
      <c r="L87" s="506"/>
    </row>
    <row r="88" spans="2:12" ht="15">
      <c r="B88" s="553" t="s">
        <v>906</v>
      </c>
      <c r="C88" s="563" t="s">
        <v>20</v>
      </c>
      <c r="D88" s="555">
        <v>2</v>
      </c>
      <c r="E88" s="555">
        <v>3</v>
      </c>
      <c r="F88" s="555">
        <v>2</v>
      </c>
      <c r="G88" s="555">
        <v>0</v>
      </c>
      <c r="H88" s="555">
        <v>1</v>
      </c>
      <c r="I88" s="558">
        <v>42195</v>
      </c>
      <c r="J88" s="555">
        <v>3</v>
      </c>
      <c r="K88" s="555">
        <v>64</v>
      </c>
      <c r="L88" s="558" t="s">
        <v>547</v>
      </c>
    </row>
    <row r="89" spans="2:12" ht="15">
      <c r="B89" s="554" t="s">
        <v>907</v>
      </c>
      <c r="C89" s="516" t="s">
        <v>52</v>
      </c>
      <c r="D89" s="513">
        <v>1</v>
      </c>
      <c r="E89" s="513">
        <v>3</v>
      </c>
      <c r="F89" s="513">
        <v>1</v>
      </c>
      <c r="G89" s="513">
        <v>0</v>
      </c>
      <c r="H89" s="513">
        <v>2</v>
      </c>
      <c r="I89" s="559">
        <v>42284</v>
      </c>
      <c r="J89" s="513">
        <v>-3</v>
      </c>
      <c r="K89" s="513">
        <v>64</v>
      </c>
      <c r="L89" s="559" t="s">
        <v>774</v>
      </c>
    </row>
    <row r="90" spans="2:12" ht="15" customHeight="1">
      <c r="B90" s="505" t="s">
        <v>914</v>
      </c>
      <c r="C90" s="510"/>
      <c r="D90" s="514"/>
      <c r="E90" s="514"/>
      <c r="F90" s="514"/>
      <c r="G90" s="514"/>
      <c r="H90" s="514"/>
      <c r="I90" s="560"/>
      <c r="J90" s="514"/>
      <c r="K90" s="514"/>
      <c r="L90" s="515"/>
    </row>
    <row r="91" spans="2:12" ht="15">
      <c r="B91" s="506" t="s">
        <v>70</v>
      </c>
      <c r="C91" s="506" t="s">
        <v>71</v>
      </c>
      <c r="D91" s="506" t="s">
        <v>905</v>
      </c>
      <c r="E91" s="506" t="s">
        <v>2</v>
      </c>
      <c r="F91" s="506" t="s">
        <v>3</v>
      </c>
      <c r="G91" s="506" t="s">
        <v>4</v>
      </c>
      <c r="H91" s="506" t="s">
        <v>5</v>
      </c>
      <c r="I91" s="557" t="s">
        <v>109</v>
      </c>
      <c r="J91" s="506" t="s">
        <v>8</v>
      </c>
      <c r="K91" s="506" t="s">
        <v>110</v>
      </c>
      <c r="L91" s="506"/>
    </row>
    <row r="92" spans="2:12" ht="15">
      <c r="B92" s="553" t="s">
        <v>906</v>
      </c>
      <c r="C92" s="563" t="s">
        <v>124</v>
      </c>
      <c r="D92" s="555">
        <v>2</v>
      </c>
      <c r="E92" s="555">
        <v>2</v>
      </c>
      <c r="F92" s="555">
        <v>2</v>
      </c>
      <c r="G92" s="555">
        <v>0</v>
      </c>
      <c r="H92" s="555">
        <v>0</v>
      </c>
      <c r="I92" s="558">
        <v>42046</v>
      </c>
      <c r="J92" s="555">
        <v>9</v>
      </c>
      <c r="K92" s="555">
        <v>62</v>
      </c>
      <c r="L92" s="558" t="s">
        <v>547</v>
      </c>
    </row>
    <row r="93" spans="2:12" ht="15">
      <c r="B93" s="554" t="s">
        <v>907</v>
      </c>
      <c r="C93" s="516" t="s">
        <v>306</v>
      </c>
      <c r="D93" s="513">
        <v>0</v>
      </c>
      <c r="E93" s="513">
        <v>2</v>
      </c>
      <c r="F93" s="513">
        <v>0</v>
      </c>
      <c r="G93" s="513">
        <v>0</v>
      </c>
      <c r="H93" s="513">
        <v>2</v>
      </c>
      <c r="I93" s="559">
        <v>42310</v>
      </c>
      <c r="J93" s="513">
        <v>-9</v>
      </c>
      <c r="K93" s="513">
        <v>44</v>
      </c>
      <c r="L93" s="559" t="s">
        <v>774</v>
      </c>
    </row>
  </sheetData>
  <sheetProtection/>
  <autoFilter ref="B6:W52"/>
  <mergeCells count="3">
    <mergeCell ref="E2:F2"/>
    <mergeCell ref="H2:I2"/>
    <mergeCell ref="E54:G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79"/>
  <sheetViews>
    <sheetView zoomScalePageLayoutView="0" workbookViewId="0" topLeftCell="A58">
      <selection activeCell="P76" sqref="P76"/>
    </sheetView>
  </sheetViews>
  <sheetFormatPr defaultColWidth="9.140625" defaultRowHeight="15"/>
  <cols>
    <col min="1" max="1" width="9.140625" style="143" customWidth="1"/>
    <col min="2" max="2" width="5.00390625" style="143" customWidth="1"/>
    <col min="3" max="3" width="35.140625" style="143" customWidth="1"/>
    <col min="4" max="7" width="11.28125" style="143" customWidth="1"/>
    <col min="8" max="11" width="9.140625" style="143" customWidth="1"/>
    <col min="12" max="12" width="9.140625" style="48" customWidth="1"/>
    <col min="13" max="16" width="9.140625" style="1" customWidth="1"/>
    <col min="17" max="17" width="9.140625" style="145" customWidth="1"/>
    <col min="18" max="16384" width="9.140625" style="143" customWidth="1"/>
  </cols>
  <sheetData>
    <row r="1" ht="15" customHeight="1">
      <c r="C1" s="3" t="s">
        <v>412</v>
      </c>
    </row>
    <row r="2" spans="3:9" ht="15" customHeight="1">
      <c r="C2" s="2" t="s">
        <v>53</v>
      </c>
      <c r="D2" s="1" t="s">
        <v>54</v>
      </c>
      <c r="E2" s="602">
        <v>42028</v>
      </c>
      <c r="F2" s="603"/>
      <c r="G2" s="1" t="s">
        <v>55</v>
      </c>
      <c r="H2" s="602"/>
      <c r="I2" s="603"/>
    </row>
    <row r="3" spans="3:17" ht="15.75">
      <c r="C3" s="5" t="s">
        <v>56</v>
      </c>
      <c r="D3" s="7" t="s">
        <v>115</v>
      </c>
      <c r="E3" s="5"/>
      <c r="F3" s="5"/>
      <c r="G3" s="5"/>
      <c r="H3" s="5"/>
      <c r="I3" s="5"/>
      <c r="J3" s="5"/>
      <c r="K3" s="5"/>
      <c r="L3" s="7"/>
      <c r="M3" s="47"/>
      <c r="N3" s="47"/>
      <c r="O3" s="47"/>
      <c r="P3" s="6" t="s">
        <v>58</v>
      </c>
      <c r="Q3" s="146" t="s">
        <v>413</v>
      </c>
    </row>
    <row r="4" ht="15.75" thickBot="1"/>
    <row r="5" spans="2:17" ht="15.75" customHeight="1" thickBot="1">
      <c r="B5" s="301" t="s">
        <v>0</v>
      </c>
      <c r="C5" s="302" t="s">
        <v>239</v>
      </c>
      <c r="D5" s="302">
        <v>1</v>
      </c>
      <c r="E5" s="302">
        <v>2</v>
      </c>
      <c r="F5" s="302">
        <v>3</v>
      </c>
      <c r="G5" s="302">
        <v>4</v>
      </c>
      <c r="H5" s="303" t="s">
        <v>2</v>
      </c>
      <c r="I5" s="302" t="s">
        <v>3</v>
      </c>
      <c r="J5" s="302" t="s">
        <v>4</v>
      </c>
      <c r="K5" s="302" t="s">
        <v>5</v>
      </c>
      <c r="L5" s="304" t="s">
        <v>251</v>
      </c>
      <c r="M5" s="302" t="s">
        <v>8</v>
      </c>
      <c r="N5" s="302" t="s">
        <v>258</v>
      </c>
      <c r="O5" s="302" t="s">
        <v>252</v>
      </c>
      <c r="P5" s="305" t="s">
        <v>9</v>
      </c>
      <c r="Q5" s="306" t="s">
        <v>253</v>
      </c>
    </row>
    <row r="6" spans="2:17" ht="15">
      <c r="B6" s="329">
        <v>1</v>
      </c>
      <c r="C6" s="330" t="s">
        <v>124</v>
      </c>
      <c r="D6" s="307"/>
      <c r="E6" s="331" t="s">
        <v>512</v>
      </c>
      <c r="F6" s="331" t="s">
        <v>491</v>
      </c>
      <c r="G6" s="331" t="s">
        <v>463</v>
      </c>
      <c r="H6" s="332">
        <v>6</v>
      </c>
      <c r="I6" s="333">
        <v>4</v>
      </c>
      <c r="J6" s="333"/>
      <c r="K6" s="333">
        <v>2</v>
      </c>
      <c r="L6" s="331" t="s">
        <v>422</v>
      </c>
      <c r="M6" s="331" t="s">
        <v>423</v>
      </c>
      <c r="N6" s="333"/>
      <c r="O6" s="334">
        <v>161</v>
      </c>
      <c r="P6" s="335">
        <f>I6*3+J6</f>
        <v>12</v>
      </c>
      <c r="Q6" s="336">
        <v>16</v>
      </c>
    </row>
    <row r="7" spans="2:17" ht="15" customHeight="1">
      <c r="B7" s="337">
        <v>2</v>
      </c>
      <c r="C7" s="348" t="s">
        <v>20</v>
      </c>
      <c r="D7" s="339" t="s">
        <v>513</v>
      </c>
      <c r="E7" s="307"/>
      <c r="F7" s="339" t="s">
        <v>455</v>
      </c>
      <c r="G7" s="339" t="s">
        <v>483</v>
      </c>
      <c r="H7" s="340">
        <v>6</v>
      </c>
      <c r="I7" s="341">
        <v>4</v>
      </c>
      <c r="J7" s="341"/>
      <c r="K7" s="341">
        <v>2</v>
      </c>
      <c r="L7" s="339" t="s">
        <v>424</v>
      </c>
      <c r="M7" s="339" t="s">
        <v>417</v>
      </c>
      <c r="N7" s="341"/>
      <c r="O7" s="342">
        <v>136</v>
      </c>
      <c r="P7" s="343">
        <f>I7*3+J7</f>
        <v>12</v>
      </c>
      <c r="Q7" s="344">
        <v>16</v>
      </c>
    </row>
    <row r="8" spans="2:17" ht="15" customHeight="1">
      <c r="B8" s="308">
        <v>3</v>
      </c>
      <c r="C8" s="309" t="s">
        <v>15</v>
      </c>
      <c r="D8" s="310" t="s">
        <v>492</v>
      </c>
      <c r="E8" s="310" t="s">
        <v>456</v>
      </c>
      <c r="F8" s="307"/>
      <c r="G8" s="310" t="s">
        <v>533</v>
      </c>
      <c r="H8" s="311">
        <v>6</v>
      </c>
      <c r="I8" s="312">
        <v>1</v>
      </c>
      <c r="J8" s="312">
        <v>2</v>
      </c>
      <c r="K8" s="312">
        <v>3</v>
      </c>
      <c r="L8" s="313" t="s">
        <v>425</v>
      </c>
      <c r="M8" s="313" t="s">
        <v>263</v>
      </c>
      <c r="N8" s="312"/>
      <c r="O8" s="314">
        <v>149</v>
      </c>
      <c r="P8" s="315">
        <f>I8*3+J8</f>
        <v>5</v>
      </c>
      <c r="Q8" s="345" t="s">
        <v>421</v>
      </c>
    </row>
    <row r="9" spans="2:17" ht="15" customHeight="1" thickBot="1">
      <c r="B9" s="316">
        <v>4</v>
      </c>
      <c r="C9" s="317" t="s">
        <v>126</v>
      </c>
      <c r="D9" s="318" t="s">
        <v>464</v>
      </c>
      <c r="E9" s="318" t="s">
        <v>484</v>
      </c>
      <c r="F9" s="318" t="s">
        <v>533</v>
      </c>
      <c r="G9" s="319"/>
      <c r="H9" s="320">
        <v>6</v>
      </c>
      <c r="I9" s="321">
        <v>1</v>
      </c>
      <c r="J9" s="321">
        <v>2</v>
      </c>
      <c r="K9" s="321">
        <v>3</v>
      </c>
      <c r="L9" s="322" t="s">
        <v>426</v>
      </c>
      <c r="M9" s="322" t="s">
        <v>267</v>
      </c>
      <c r="N9" s="321"/>
      <c r="O9" s="323">
        <v>136</v>
      </c>
      <c r="P9" s="324">
        <f>I9*3+J9</f>
        <v>5</v>
      </c>
      <c r="Q9" s="346" t="s">
        <v>420</v>
      </c>
    </row>
    <row r="10" spans="2:17" ht="15" customHeight="1" thickBot="1"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6"/>
      <c r="M10" s="327"/>
      <c r="N10" s="327"/>
      <c r="O10" s="327"/>
      <c r="P10" s="327"/>
      <c r="Q10" s="328"/>
    </row>
    <row r="11" spans="2:17" ht="15" customHeight="1" thickBot="1">
      <c r="B11" s="301" t="s">
        <v>0</v>
      </c>
      <c r="C11" s="302" t="s">
        <v>240</v>
      </c>
      <c r="D11" s="302">
        <v>1</v>
      </c>
      <c r="E11" s="302">
        <v>2</v>
      </c>
      <c r="F11" s="302">
        <v>3</v>
      </c>
      <c r="G11" s="302">
        <v>4</v>
      </c>
      <c r="H11" s="303" t="s">
        <v>2</v>
      </c>
      <c r="I11" s="302" t="s">
        <v>3</v>
      </c>
      <c r="J11" s="302" t="s">
        <v>4</v>
      </c>
      <c r="K11" s="302" t="s">
        <v>5</v>
      </c>
      <c r="L11" s="304" t="s">
        <v>251</v>
      </c>
      <c r="M11" s="302" t="s">
        <v>8</v>
      </c>
      <c r="N11" s="302" t="s">
        <v>258</v>
      </c>
      <c r="O11" s="302" t="s">
        <v>252</v>
      </c>
      <c r="P11" s="305" t="s">
        <v>9</v>
      </c>
      <c r="Q11" s="306" t="s">
        <v>253</v>
      </c>
    </row>
    <row r="12" spans="2:17" ht="15" customHeight="1">
      <c r="B12" s="329">
        <v>1</v>
      </c>
      <c r="C12" s="330" t="s">
        <v>307</v>
      </c>
      <c r="D12" s="307"/>
      <c r="E12" s="331" t="s">
        <v>519</v>
      </c>
      <c r="F12" s="331" t="s">
        <v>486</v>
      </c>
      <c r="G12" s="331" t="s">
        <v>472</v>
      </c>
      <c r="H12" s="332">
        <v>6</v>
      </c>
      <c r="I12" s="333">
        <v>4</v>
      </c>
      <c r="J12" s="333"/>
      <c r="K12" s="333">
        <v>2</v>
      </c>
      <c r="L12" s="331" t="s">
        <v>427</v>
      </c>
      <c r="M12" s="331" t="s">
        <v>417</v>
      </c>
      <c r="N12" s="333"/>
      <c r="O12" s="334">
        <v>142</v>
      </c>
      <c r="P12" s="335">
        <f>I12*3+J12</f>
        <v>12</v>
      </c>
      <c r="Q12" s="336">
        <v>16</v>
      </c>
    </row>
    <row r="13" spans="2:17" ht="15" customHeight="1">
      <c r="B13" s="337">
        <v>2</v>
      </c>
      <c r="C13" s="338" t="s">
        <v>304</v>
      </c>
      <c r="D13" s="339" t="s">
        <v>518</v>
      </c>
      <c r="E13" s="307"/>
      <c r="F13" s="339" t="s">
        <v>458</v>
      </c>
      <c r="G13" s="339" t="s">
        <v>499</v>
      </c>
      <c r="H13" s="340">
        <v>6</v>
      </c>
      <c r="I13" s="341">
        <v>3</v>
      </c>
      <c r="J13" s="341"/>
      <c r="K13" s="341">
        <v>3</v>
      </c>
      <c r="L13" s="339" t="s">
        <v>428</v>
      </c>
      <c r="M13" s="339" t="s">
        <v>431</v>
      </c>
      <c r="N13" s="341"/>
      <c r="O13" s="342">
        <v>123</v>
      </c>
      <c r="P13" s="343">
        <f>I13*3+J13</f>
        <v>9</v>
      </c>
      <c r="Q13" s="344">
        <v>16</v>
      </c>
    </row>
    <row r="14" spans="2:17" ht="15" customHeight="1">
      <c r="B14" s="308">
        <v>3</v>
      </c>
      <c r="C14" s="309" t="s">
        <v>238</v>
      </c>
      <c r="D14" s="310" t="s">
        <v>485</v>
      </c>
      <c r="E14" s="310" t="s">
        <v>457</v>
      </c>
      <c r="F14" s="307"/>
      <c r="G14" s="310" t="s">
        <v>530</v>
      </c>
      <c r="H14" s="311">
        <v>6</v>
      </c>
      <c r="I14" s="312">
        <v>2</v>
      </c>
      <c r="J14" s="312">
        <v>1</v>
      </c>
      <c r="K14" s="312">
        <v>3</v>
      </c>
      <c r="L14" s="313" t="s">
        <v>429</v>
      </c>
      <c r="M14" s="313" t="s">
        <v>417</v>
      </c>
      <c r="N14" s="312"/>
      <c r="O14" s="314">
        <v>155</v>
      </c>
      <c r="P14" s="315">
        <f>I14*3+J14</f>
        <v>7</v>
      </c>
      <c r="Q14" s="345" t="s">
        <v>421</v>
      </c>
    </row>
    <row r="15" spans="2:17" ht="15" customHeight="1" thickBot="1">
      <c r="B15" s="316">
        <v>4</v>
      </c>
      <c r="C15" s="317" t="s">
        <v>302</v>
      </c>
      <c r="D15" s="318" t="s">
        <v>471</v>
      </c>
      <c r="E15" s="318" t="s">
        <v>498</v>
      </c>
      <c r="F15" s="318" t="s">
        <v>529</v>
      </c>
      <c r="G15" s="319"/>
      <c r="H15" s="320">
        <v>6</v>
      </c>
      <c r="I15" s="321">
        <v>2</v>
      </c>
      <c r="J15" s="321">
        <v>1</v>
      </c>
      <c r="K15" s="321">
        <v>3</v>
      </c>
      <c r="L15" s="322" t="s">
        <v>430</v>
      </c>
      <c r="M15" s="322" t="s">
        <v>432</v>
      </c>
      <c r="N15" s="321"/>
      <c r="O15" s="323">
        <v>151</v>
      </c>
      <c r="P15" s="324">
        <f>I15*3+J15</f>
        <v>7</v>
      </c>
      <c r="Q15" s="346" t="s">
        <v>420</v>
      </c>
    </row>
    <row r="16" spans="2:17" ht="15" customHeight="1" thickBot="1"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6"/>
      <c r="M16" s="327"/>
      <c r="N16" s="327"/>
      <c r="O16" s="327"/>
      <c r="P16" s="327"/>
      <c r="Q16" s="328"/>
    </row>
    <row r="17" spans="2:17" ht="15" customHeight="1" thickBot="1">
      <c r="B17" s="301" t="s">
        <v>0</v>
      </c>
      <c r="C17" s="302" t="s">
        <v>241</v>
      </c>
      <c r="D17" s="302">
        <v>1</v>
      </c>
      <c r="E17" s="302">
        <v>2</v>
      </c>
      <c r="F17" s="302">
        <v>3</v>
      </c>
      <c r="G17" s="302">
        <v>4</v>
      </c>
      <c r="H17" s="303" t="s">
        <v>2</v>
      </c>
      <c r="I17" s="302" t="s">
        <v>3</v>
      </c>
      <c r="J17" s="302" t="s">
        <v>4</v>
      </c>
      <c r="K17" s="302" t="s">
        <v>5</v>
      </c>
      <c r="L17" s="304" t="s">
        <v>251</v>
      </c>
      <c r="M17" s="302" t="s">
        <v>8</v>
      </c>
      <c r="N17" s="302" t="s">
        <v>258</v>
      </c>
      <c r="O17" s="302" t="s">
        <v>252</v>
      </c>
      <c r="P17" s="305" t="s">
        <v>9</v>
      </c>
      <c r="Q17" s="306" t="s">
        <v>253</v>
      </c>
    </row>
    <row r="18" spans="2:17" ht="15" customHeight="1">
      <c r="B18" s="329">
        <v>1</v>
      </c>
      <c r="C18" s="330" t="s">
        <v>232</v>
      </c>
      <c r="D18" s="307"/>
      <c r="E18" s="331" t="s">
        <v>500</v>
      </c>
      <c r="F18" s="331" t="s">
        <v>474</v>
      </c>
      <c r="G18" s="331" t="s">
        <v>521</v>
      </c>
      <c r="H18" s="332">
        <v>6</v>
      </c>
      <c r="I18" s="333">
        <v>5</v>
      </c>
      <c r="J18" s="333">
        <v>1</v>
      </c>
      <c r="K18" s="333"/>
      <c r="L18" s="331" t="s">
        <v>433</v>
      </c>
      <c r="M18" s="331" t="s">
        <v>436</v>
      </c>
      <c r="N18" s="333"/>
      <c r="O18" s="334">
        <v>183</v>
      </c>
      <c r="P18" s="335">
        <f>I18*3+J18</f>
        <v>16</v>
      </c>
      <c r="Q18" s="336">
        <v>16</v>
      </c>
    </row>
    <row r="19" spans="2:17" ht="15" customHeight="1">
      <c r="B19" s="337">
        <v>2</v>
      </c>
      <c r="C19" s="338" t="s">
        <v>28</v>
      </c>
      <c r="D19" s="339" t="s">
        <v>501</v>
      </c>
      <c r="E19" s="307"/>
      <c r="F19" s="339" t="s">
        <v>517</v>
      </c>
      <c r="G19" s="339" t="s">
        <v>462</v>
      </c>
      <c r="H19" s="340">
        <v>6</v>
      </c>
      <c r="I19" s="341">
        <v>2</v>
      </c>
      <c r="J19" s="341">
        <v>2</v>
      </c>
      <c r="K19" s="341">
        <v>2</v>
      </c>
      <c r="L19" s="339" t="s">
        <v>434</v>
      </c>
      <c r="M19" s="339" t="s">
        <v>260</v>
      </c>
      <c r="N19" s="341"/>
      <c r="O19" s="342">
        <v>144</v>
      </c>
      <c r="P19" s="343">
        <f>I19*3+J19</f>
        <v>8</v>
      </c>
      <c r="Q19" s="344">
        <v>16</v>
      </c>
    </row>
    <row r="20" spans="2:17" ht="15" customHeight="1">
      <c r="B20" s="308">
        <v>3</v>
      </c>
      <c r="C20" s="309" t="s">
        <v>411</v>
      </c>
      <c r="D20" s="310" t="s">
        <v>473</v>
      </c>
      <c r="E20" s="310" t="s">
        <v>516</v>
      </c>
      <c r="F20" s="307"/>
      <c r="G20" s="310" t="s">
        <v>490</v>
      </c>
      <c r="H20" s="311">
        <v>6</v>
      </c>
      <c r="I20" s="312">
        <v>1</v>
      </c>
      <c r="J20" s="312">
        <v>2</v>
      </c>
      <c r="K20" s="312">
        <v>3</v>
      </c>
      <c r="L20" s="313" t="s">
        <v>434</v>
      </c>
      <c r="M20" s="313" t="s">
        <v>260</v>
      </c>
      <c r="N20" s="312"/>
      <c r="O20" s="314">
        <v>159</v>
      </c>
      <c r="P20" s="315">
        <f>I20*3+J20</f>
        <v>5</v>
      </c>
      <c r="Q20" s="345" t="s">
        <v>421</v>
      </c>
    </row>
    <row r="21" spans="2:17" ht="15" customHeight="1" thickBot="1">
      <c r="B21" s="316">
        <v>4</v>
      </c>
      <c r="C21" s="317" t="s">
        <v>301</v>
      </c>
      <c r="D21" s="318" t="s">
        <v>520</v>
      </c>
      <c r="E21" s="318" t="s">
        <v>461</v>
      </c>
      <c r="F21" s="318" t="s">
        <v>489</v>
      </c>
      <c r="G21" s="319"/>
      <c r="H21" s="320">
        <v>6</v>
      </c>
      <c r="I21" s="321">
        <v>1</v>
      </c>
      <c r="J21" s="321">
        <v>1</v>
      </c>
      <c r="K21" s="321">
        <v>4</v>
      </c>
      <c r="L21" s="322" t="s">
        <v>435</v>
      </c>
      <c r="M21" s="322" t="s">
        <v>262</v>
      </c>
      <c r="N21" s="321"/>
      <c r="O21" s="323">
        <v>145</v>
      </c>
      <c r="P21" s="324">
        <f>I21*3+J21</f>
        <v>4</v>
      </c>
      <c r="Q21" s="346" t="s">
        <v>420</v>
      </c>
    </row>
    <row r="22" spans="2:17" ht="15" customHeight="1" thickBot="1"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6"/>
      <c r="M22" s="327"/>
      <c r="N22" s="327"/>
      <c r="O22" s="327"/>
      <c r="P22" s="327"/>
      <c r="Q22" s="328"/>
    </row>
    <row r="23" spans="2:17" ht="15" customHeight="1" thickBot="1">
      <c r="B23" s="301" t="s">
        <v>0</v>
      </c>
      <c r="C23" s="302" t="s">
        <v>242</v>
      </c>
      <c r="D23" s="302">
        <v>1</v>
      </c>
      <c r="E23" s="302">
        <v>2</v>
      </c>
      <c r="F23" s="302">
        <v>3</v>
      </c>
      <c r="G23" s="302">
        <v>4</v>
      </c>
      <c r="H23" s="303" t="s">
        <v>2</v>
      </c>
      <c r="I23" s="302" t="s">
        <v>3</v>
      </c>
      <c r="J23" s="302" t="s">
        <v>4</v>
      </c>
      <c r="K23" s="302" t="s">
        <v>5</v>
      </c>
      <c r="L23" s="304" t="s">
        <v>251</v>
      </c>
      <c r="M23" s="302" t="s">
        <v>8</v>
      </c>
      <c r="N23" s="302" t="s">
        <v>258</v>
      </c>
      <c r="O23" s="302" t="s">
        <v>252</v>
      </c>
      <c r="P23" s="305" t="s">
        <v>9</v>
      </c>
      <c r="Q23" s="306" t="s">
        <v>253</v>
      </c>
    </row>
    <row r="24" spans="2:17" ht="15" customHeight="1">
      <c r="B24" s="329">
        <v>1</v>
      </c>
      <c r="C24" s="330" t="s">
        <v>326</v>
      </c>
      <c r="D24" s="307"/>
      <c r="E24" s="331" t="s">
        <v>502</v>
      </c>
      <c r="F24" s="331" t="s">
        <v>531</v>
      </c>
      <c r="G24" s="331" t="s">
        <v>475</v>
      </c>
      <c r="H24" s="332">
        <v>6</v>
      </c>
      <c r="I24" s="333">
        <v>4</v>
      </c>
      <c r="J24" s="333">
        <v>1</v>
      </c>
      <c r="K24" s="333">
        <v>1</v>
      </c>
      <c r="L24" s="331" t="s">
        <v>437</v>
      </c>
      <c r="M24" s="331" t="s">
        <v>419</v>
      </c>
      <c r="N24" s="333"/>
      <c r="O24" s="334">
        <v>158</v>
      </c>
      <c r="P24" s="335">
        <f>I24*3+J24</f>
        <v>13</v>
      </c>
      <c r="Q24" s="336">
        <v>16</v>
      </c>
    </row>
    <row r="25" spans="2:17" ht="15" customHeight="1">
      <c r="B25" s="337">
        <v>2</v>
      </c>
      <c r="C25" s="338" t="s">
        <v>313</v>
      </c>
      <c r="D25" s="339" t="s">
        <v>503</v>
      </c>
      <c r="E25" s="307"/>
      <c r="F25" s="339" t="s">
        <v>477</v>
      </c>
      <c r="G25" s="339" t="s">
        <v>524</v>
      </c>
      <c r="H25" s="340">
        <v>6</v>
      </c>
      <c r="I25" s="341">
        <v>3</v>
      </c>
      <c r="J25" s="341">
        <v>1</v>
      </c>
      <c r="K25" s="341">
        <v>2</v>
      </c>
      <c r="L25" s="339" t="s">
        <v>438</v>
      </c>
      <c r="M25" s="339" t="s">
        <v>259</v>
      </c>
      <c r="N25" s="341"/>
      <c r="O25" s="342">
        <v>160</v>
      </c>
      <c r="P25" s="343">
        <f>I25*3+J25</f>
        <v>10</v>
      </c>
      <c r="Q25" s="344">
        <v>16</v>
      </c>
    </row>
    <row r="26" spans="2:17" ht="15" customHeight="1">
      <c r="B26" s="308">
        <v>3</v>
      </c>
      <c r="C26" s="309" t="s">
        <v>325</v>
      </c>
      <c r="D26" s="310" t="s">
        <v>532</v>
      </c>
      <c r="E26" s="310" t="s">
        <v>478</v>
      </c>
      <c r="F26" s="307"/>
      <c r="G26" s="310" t="s">
        <v>504</v>
      </c>
      <c r="H26" s="311">
        <v>6</v>
      </c>
      <c r="I26" s="312">
        <v>2</v>
      </c>
      <c r="J26" s="312"/>
      <c r="K26" s="312">
        <v>4</v>
      </c>
      <c r="L26" s="313" t="s">
        <v>439</v>
      </c>
      <c r="M26" s="313"/>
      <c r="N26" s="312"/>
      <c r="O26" s="314">
        <v>152</v>
      </c>
      <c r="P26" s="315">
        <f>I26*3+J26</f>
        <v>6</v>
      </c>
      <c r="Q26" s="345" t="s">
        <v>421</v>
      </c>
    </row>
    <row r="27" spans="2:17" ht="15" customHeight="1" thickBot="1">
      <c r="B27" s="316">
        <v>4</v>
      </c>
      <c r="C27" s="317" t="s">
        <v>306</v>
      </c>
      <c r="D27" s="318" t="s">
        <v>476</v>
      </c>
      <c r="E27" s="318" t="s">
        <v>525</v>
      </c>
      <c r="F27" s="318" t="s">
        <v>505</v>
      </c>
      <c r="G27" s="319"/>
      <c r="H27" s="320">
        <v>6</v>
      </c>
      <c r="I27" s="321">
        <v>2</v>
      </c>
      <c r="J27" s="321"/>
      <c r="K27" s="321">
        <v>4</v>
      </c>
      <c r="L27" s="322" t="s">
        <v>297</v>
      </c>
      <c r="M27" s="322" t="s">
        <v>260</v>
      </c>
      <c r="N27" s="321"/>
      <c r="O27" s="323">
        <v>146</v>
      </c>
      <c r="P27" s="324">
        <f>I27*3+J27</f>
        <v>6</v>
      </c>
      <c r="Q27" s="346" t="s">
        <v>420</v>
      </c>
    </row>
    <row r="28" spans="2:17" ht="15" customHeight="1" thickBot="1"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6"/>
      <c r="M28" s="327"/>
      <c r="N28" s="327"/>
      <c r="O28" s="327"/>
      <c r="P28" s="327"/>
      <c r="Q28" s="328"/>
    </row>
    <row r="29" spans="2:17" ht="15" customHeight="1" thickBot="1">
      <c r="B29" s="301" t="s">
        <v>0</v>
      </c>
      <c r="C29" s="302" t="s">
        <v>243</v>
      </c>
      <c r="D29" s="302">
        <v>1</v>
      </c>
      <c r="E29" s="302">
        <v>2</v>
      </c>
      <c r="F29" s="302">
        <v>3</v>
      </c>
      <c r="G29" s="302">
        <v>4</v>
      </c>
      <c r="H29" s="303" t="s">
        <v>2</v>
      </c>
      <c r="I29" s="302" t="s">
        <v>3</v>
      </c>
      <c r="J29" s="302" t="s">
        <v>4</v>
      </c>
      <c r="K29" s="302" t="s">
        <v>5</v>
      </c>
      <c r="L29" s="304" t="s">
        <v>251</v>
      </c>
      <c r="M29" s="302" t="s">
        <v>8</v>
      </c>
      <c r="N29" s="302" t="s">
        <v>258</v>
      </c>
      <c r="O29" s="302" t="s">
        <v>252</v>
      </c>
      <c r="P29" s="305" t="s">
        <v>9</v>
      </c>
      <c r="Q29" s="306" t="s">
        <v>253</v>
      </c>
    </row>
    <row r="30" spans="2:17" ht="15" customHeight="1">
      <c r="B30" s="329">
        <v>1</v>
      </c>
      <c r="C30" s="330" t="s">
        <v>120</v>
      </c>
      <c r="D30" s="307"/>
      <c r="E30" s="331" t="s">
        <v>507</v>
      </c>
      <c r="F30" s="331" t="s">
        <v>515</v>
      </c>
      <c r="G30" s="331" t="s">
        <v>481</v>
      </c>
      <c r="H30" s="332">
        <v>6</v>
      </c>
      <c r="I30" s="333">
        <v>4</v>
      </c>
      <c r="J30" s="333"/>
      <c r="K30" s="333">
        <v>2</v>
      </c>
      <c r="L30" s="331" t="s">
        <v>441</v>
      </c>
      <c r="M30" s="331" t="s">
        <v>442</v>
      </c>
      <c r="N30" s="333"/>
      <c r="O30" s="334">
        <v>157</v>
      </c>
      <c r="P30" s="335">
        <f>I30*3+J30</f>
        <v>12</v>
      </c>
      <c r="Q30" s="336">
        <v>16</v>
      </c>
    </row>
    <row r="31" spans="2:17" ht="15" customHeight="1">
      <c r="B31" s="337">
        <v>2</v>
      </c>
      <c r="C31" s="338" t="s">
        <v>311</v>
      </c>
      <c r="D31" s="339" t="s">
        <v>506</v>
      </c>
      <c r="E31" s="307"/>
      <c r="F31" s="339" t="s">
        <v>479</v>
      </c>
      <c r="G31" s="339" t="s">
        <v>535</v>
      </c>
      <c r="H31" s="340">
        <v>6</v>
      </c>
      <c r="I31" s="341">
        <v>4</v>
      </c>
      <c r="J31" s="341"/>
      <c r="K31" s="341">
        <v>2</v>
      </c>
      <c r="L31" s="339" t="s">
        <v>443</v>
      </c>
      <c r="M31" s="339"/>
      <c r="N31" s="341"/>
      <c r="O31" s="342">
        <v>153</v>
      </c>
      <c r="P31" s="343">
        <f>I31*3+J31</f>
        <v>12</v>
      </c>
      <c r="Q31" s="344">
        <v>16</v>
      </c>
    </row>
    <row r="32" spans="2:17" ht="15" customHeight="1">
      <c r="B32" s="308">
        <v>3</v>
      </c>
      <c r="C32" s="309" t="s">
        <v>29</v>
      </c>
      <c r="D32" s="310" t="s">
        <v>514</v>
      </c>
      <c r="E32" s="310" t="s">
        <v>480</v>
      </c>
      <c r="F32" s="307"/>
      <c r="G32" s="310" t="s">
        <v>509</v>
      </c>
      <c r="H32" s="311">
        <v>6</v>
      </c>
      <c r="I32" s="312">
        <v>2</v>
      </c>
      <c r="J32" s="312"/>
      <c r="K32" s="312">
        <v>4</v>
      </c>
      <c r="L32" s="313" t="s">
        <v>444</v>
      </c>
      <c r="M32" s="313" t="s">
        <v>262</v>
      </c>
      <c r="N32" s="312"/>
      <c r="O32" s="314">
        <v>146</v>
      </c>
      <c r="P32" s="315">
        <f>I32*3+J32</f>
        <v>6</v>
      </c>
      <c r="Q32" s="345" t="s">
        <v>421</v>
      </c>
    </row>
    <row r="33" spans="2:17" ht="15" customHeight="1" thickBot="1">
      <c r="B33" s="316">
        <v>4</v>
      </c>
      <c r="C33" s="317" t="s">
        <v>440</v>
      </c>
      <c r="D33" s="318" t="s">
        <v>482</v>
      </c>
      <c r="E33" s="318" t="s">
        <v>534</v>
      </c>
      <c r="F33" s="318" t="s">
        <v>508</v>
      </c>
      <c r="G33" s="319"/>
      <c r="H33" s="320">
        <v>6</v>
      </c>
      <c r="I33" s="321">
        <v>2</v>
      </c>
      <c r="J33" s="321"/>
      <c r="K33" s="321">
        <v>4</v>
      </c>
      <c r="L33" s="322" t="s">
        <v>445</v>
      </c>
      <c r="M33" s="322" t="s">
        <v>431</v>
      </c>
      <c r="N33" s="321"/>
      <c r="O33" s="323">
        <v>132</v>
      </c>
      <c r="P33" s="324">
        <f>I33*3+J33</f>
        <v>6</v>
      </c>
      <c r="Q33" s="346" t="s">
        <v>420</v>
      </c>
    </row>
    <row r="34" spans="2:17" ht="15" customHeight="1" thickBot="1"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6"/>
      <c r="M34" s="327"/>
      <c r="N34" s="327"/>
      <c r="O34" s="327"/>
      <c r="P34" s="327"/>
      <c r="Q34" s="328"/>
    </row>
    <row r="35" spans="2:17" ht="15" customHeight="1" thickBot="1">
      <c r="B35" s="301" t="s">
        <v>0</v>
      </c>
      <c r="C35" s="302" t="s">
        <v>244</v>
      </c>
      <c r="D35" s="302">
        <v>1</v>
      </c>
      <c r="E35" s="302">
        <v>2</v>
      </c>
      <c r="F35" s="302">
        <v>3</v>
      </c>
      <c r="G35" s="302">
        <v>4</v>
      </c>
      <c r="H35" s="303" t="s">
        <v>2</v>
      </c>
      <c r="I35" s="302" t="s">
        <v>3</v>
      </c>
      <c r="J35" s="302" t="s">
        <v>4</v>
      </c>
      <c r="K35" s="302" t="s">
        <v>5</v>
      </c>
      <c r="L35" s="304" t="s">
        <v>251</v>
      </c>
      <c r="M35" s="302" t="s">
        <v>8</v>
      </c>
      <c r="N35" s="302" t="s">
        <v>258</v>
      </c>
      <c r="O35" s="302" t="s">
        <v>252</v>
      </c>
      <c r="P35" s="305" t="s">
        <v>9</v>
      </c>
      <c r="Q35" s="306" t="s">
        <v>253</v>
      </c>
    </row>
    <row r="36" spans="2:17" ht="15" customHeight="1">
      <c r="B36" s="329">
        <v>1</v>
      </c>
      <c r="C36" s="330" t="s">
        <v>315</v>
      </c>
      <c r="D36" s="307"/>
      <c r="E36" s="331" t="s">
        <v>465</v>
      </c>
      <c r="F36" s="331" t="s">
        <v>510</v>
      </c>
      <c r="G36" s="331" t="s">
        <v>487</v>
      </c>
      <c r="H36" s="332">
        <v>6</v>
      </c>
      <c r="I36" s="333">
        <v>4</v>
      </c>
      <c r="J36" s="333"/>
      <c r="K36" s="333">
        <v>2</v>
      </c>
      <c r="L36" s="331" t="s">
        <v>446</v>
      </c>
      <c r="M36" s="331" t="s">
        <v>432</v>
      </c>
      <c r="N36" s="333"/>
      <c r="O36" s="334">
        <v>169</v>
      </c>
      <c r="P36" s="335">
        <f>I36*3+J36</f>
        <v>12</v>
      </c>
      <c r="Q36" s="336">
        <v>16</v>
      </c>
    </row>
    <row r="37" spans="2:17" ht="15" customHeight="1">
      <c r="B37" s="337">
        <v>2</v>
      </c>
      <c r="C37" s="338" t="s">
        <v>314</v>
      </c>
      <c r="D37" s="339" t="s">
        <v>466</v>
      </c>
      <c r="E37" s="307"/>
      <c r="F37" s="339" t="s">
        <v>493</v>
      </c>
      <c r="G37" s="339" t="s">
        <v>522</v>
      </c>
      <c r="H37" s="340">
        <v>6</v>
      </c>
      <c r="I37" s="341">
        <v>3</v>
      </c>
      <c r="J37" s="341">
        <v>2</v>
      </c>
      <c r="K37" s="341">
        <v>1</v>
      </c>
      <c r="L37" s="339" t="s">
        <v>447</v>
      </c>
      <c r="M37" s="339" t="s">
        <v>418</v>
      </c>
      <c r="N37" s="341"/>
      <c r="O37" s="342">
        <v>157</v>
      </c>
      <c r="P37" s="343">
        <f>I37*3+J37</f>
        <v>11</v>
      </c>
      <c r="Q37" s="344">
        <v>16</v>
      </c>
    </row>
    <row r="38" spans="2:17" ht="15" customHeight="1">
      <c r="B38" s="337">
        <v>3</v>
      </c>
      <c r="C38" s="351" t="s">
        <v>36</v>
      </c>
      <c r="D38" s="339" t="s">
        <v>511</v>
      </c>
      <c r="E38" s="339" t="s">
        <v>493</v>
      </c>
      <c r="F38" s="307"/>
      <c r="G38" s="339" t="s">
        <v>459</v>
      </c>
      <c r="H38" s="340">
        <v>6</v>
      </c>
      <c r="I38" s="341">
        <v>2</v>
      </c>
      <c r="J38" s="341">
        <v>2</v>
      </c>
      <c r="K38" s="341">
        <v>2</v>
      </c>
      <c r="L38" s="339" t="s">
        <v>448</v>
      </c>
      <c r="M38" s="339" t="s">
        <v>416</v>
      </c>
      <c r="N38" s="341"/>
      <c r="O38" s="342">
        <v>152</v>
      </c>
      <c r="P38" s="343">
        <f>I38*3+J38</f>
        <v>8</v>
      </c>
      <c r="Q38" s="344">
        <v>16</v>
      </c>
    </row>
    <row r="39" spans="2:17" ht="15" customHeight="1" thickBot="1">
      <c r="B39" s="316">
        <v>4</v>
      </c>
      <c r="C39" s="349" t="s">
        <v>52</v>
      </c>
      <c r="D39" s="318" t="s">
        <v>488</v>
      </c>
      <c r="E39" s="318" t="s">
        <v>523</v>
      </c>
      <c r="F39" s="318" t="s">
        <v>460</v>
      </c>
      <c r="G39" s="319"/>
      <c r="H39" s="320">
        <v>6</v>
      </c>
      <c r="I39" s="321">
        <v>1</v>
      </c>
      <c r="J39" s="321"/>
      <c r="K39" s="321">
        <v>5</v>
      </c>
      <c r="L39" s="322" t="s">
        <v>445</v>
      </c>
      <c r="M39" s="322" t="s">
        <v>431</v>
      </c>
      <c r="N39" s="321"/>
      <c r="O39" s="323">
        <v>155</v>
      </c>
      <c r="P39" s="324">
        <f>I39*3+J39</f>
        <v>3</v>
      </c>
      <c r="Q39" s="346" t="s">
        <v>420</v>
      </c>
    </row>
    <row r="40" spans="2:17" ht="15" customHeight="1" thickBot="1"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6"/>
      <c r="M40" s="327"/>
      <c r="N40" s="327"/>
      <c r="O40" s="327"/>
      <c r="P40" s="327"/>
      <c r="Q40" s="328"/>
    </row>
    <row r="41" spans="2:17" ht="15" customHeight="1" thickBot="1">
      <c r="B41" s="301" t="s">
        <v>0</v>
      </c>
      <c r="C41" s="302" t="s">
        <v>245</v>
      </c>
      <c r="D41" s="302">
        <v>1</v>
      </c>
      <c r="E41" s="302">
        <v>2</v>
      </c>
      <c r="F41" s="302">
        <v>3</v>
      </c>
      <c r="G41" s="302">
        <v>4</v>
      </c>
      <c r="H41" s="303" t="s">
        <v>2</v>
      </c>
      <c r="I41" s="302" t="s">
        <v>3</v>
      </c>
      <c r="J41" s="302" t="s">
        <v>4</v>
      </c>
      <c r="K41" s="302" t="s">
        <v>5</v>
      </c>
      <c r="L41" s="304" t="s">
        <v>251</v>
      </c>
      <c r="M41" s="302" t="s">
        <v>8</v>
      </c>
      <c r="N41" s="302" t="s">
        <v>258</v>
      </c>
      <c r="O41" s="302" t="s">
        <v>252</v>
      </c>
      <c r="P41" s="305" t="s">
        <v>9</v>
      </c>
      <c r="Q41" s="306" t="s">
        <v>253</v>
      </c>
    </row>
    <row r="42" spans="2:17" ht="15" customHeight="1">
      <c r="B42" s="329">
        <v>1</v>
      </c>
      <c r="C42" s="330" t="s">
        <v>235</v>
      </c>
      <c r="D42" s="307"/>
      <c r="E42" s="331" t="s">
        <v>496</v>
      </c>
      <c r="F42" s="331" t="s">
        <v>528</v>
      </c>
      <c r="G42" s="331" t="s">
        <v>467</v>
      </c>
      <c r="H42" s="332">
        <v>6</v>
      </c>
      <c r="I42" s="333">
        <v>4</v>
      </c>
      <c r="J42" s="333"/>
      <c r="K42" s="333">
        <v>2</v>
      </c>
      <c r="L42" s="331" t="s">
        <v>452</v>
      </c>
      <c r="M42" s="331" t="s">
        <v>415</v>
      </c>
      <c r="N42" s="333"/>
      <c r="O42" s="334">
        <v>156</v>
      </c>
      <c r="P42" s="335">
        <f>I42*3+J42</f>
        <v>12</v>
      </c>
      <c r="Q42" s="336">
        <v>16</v>
      </c>
    </row>
    <row r="43" spans="2:17" ht="15" customHeight="1">
      <c r="B43" s="337">
        <v>2</v>
      </c>
      <c r="C43" s="338" t="s">
        <v>305</v>
      </c>
      <c r="D43" s="339" t="s">
        <v>497</v>
      </c>
      <c r="E43" s="307"/>
      <c r="F43" s="339" t="s">
        <v>470</v>
      </c>
      <c r="G43" s="339" t="s">
        <v>526</v>
      </c>
      <c r="H43" s="340">
        <v>6</v>
      </c>
      <c r="I43" s="341">
        <v>4</v>
      </c>
      <c r="J43" s="341"/>
      <c r="K43" s="341">
        <v>2</v>
      </c>
      <c r="L43" s="339" t="s">
        <v>449</v>
      </c>
      <c r="M43" s="339" t="s">
        <v>453</v>
      </c>
      <c r="N43" s="341"/>
      <c r="O43" s="342">
        <v>147</v>
      </c>
      <c r="P43" s="343">
        <f>I43*3+J43</f>
        <v>12</v>
      </c>
      <c r="Q43" s="344">
        <v>16</v>
      </c>
    </row>
    <row r="44" spans="2:17" ht="15" customHeight="1">
      <c r="B44" s="337">
        <v>3</v>
      </c>
      <c r="C44" s="338" t="s">
        <v>34</v>
      </c>
      <c r="D44" s="339" t="s">
        <v>528</v>
      </c>
      <c r="E44" s="339" t="s">
        <v>469</v>
      </c>
      <c r="F44" s="307"/>
      <c r="G44" s="339" t="s">
        <v>495</v>
      </c>
      <c r="H44" s="340">
        <v>6</v>
      </c>
      <c r="I44" s="341">
        <v>3</v>
      </c>
      <c r="J44" s="341"/>
      <c r="K44" s="341">
        <v>3</v>
      </c>
      <c r="L44" s="339" t="s">
        <v>450</v>
      </c>
      <c r="M44" s="339"/>
      <c r="N44" s="341"/>
      <c r="O44" s="342">
        <v>143</v>
      </c>
      <c r="P44" s="343">
        <f>I44*3+J44</f>
        <v>9</v>
      </c>
      <c r="Q44" s="344">
        <v>16</v>
      </c>
    </row>
    <row r="45" spans="2:17" ht="15" customHeight="1" thickBot="1">
      <c r="B45" s="316">
        <v>4</v>
      </c>
      <c r="C45" s="317" t="s">
        <v>13</v>
      </c>
      <c r="D45" s="318" t="s">
        <v>468</v>
      </c>
      <c r="E45" s="318" t="s">
        <v>527</v>
      </c>
      <c r="F45" s="318" t="s">
        <v>494</v>
      </c>
      <c r="G45" s="319"/>
      <c r="H45" s="320">
        <v>6</v>
      </c>
      <c r="I45" s="321">
        <v>1</v>
      </c>
      <c r="J45" s="321"/>
      <c r="K45" s="321">
        <v>5</v>
      </c>
      <c r="L45" s="322" t="s">
        <v>451</v>
      </c>
      <c r="M45" s="322" t="s">
        <v>454</v>
      </c>
      <c r="N45" s="321"/>
      <c r="O45" s="323">
        <v>145</v>
      </c>
      <c r="P45" s="324">
        <f>I45*3+J45</f>
        <v>3</v>
      </c>
      <c r="Q45" s="346" t="s">
        <v>420</v>
      </c>
    </row>
    <row r="47" ht="19.5">
      <c r="C47" s="378" t="s">
        <v>542</v>
      </c>
    </row>
    <row r="48" ht="15.75" thickBot="1"/>
    <row r="49" spans="2:17" ht="15.75" thickBot="1">
      <c r="B49" s="301" t="s">
        <v>0</v>
      </c>
      <c r="C49" s="302" t="s">
        <v>543</v>
      </c>
      <c r="D49" s="302">
        <v>1</v>
      </c>
      <c r="E49" s="302">
        <v>2</v>
      </c>
      <c r="F49" s="302">
        <v>3</v>
      </c>
      <c r="G49" s="302">
        <v>4</v>
      </c>
      <c r="H49" s="303" t="s">
        <v>2</v>
      </c>
      <c r="I49" s="302" t="s">
        <v>3</v>
      </c>
      <c r="J49" s="302" t="s">
        <v>4</v>
      </c>
      <c r="K49" s="302" t="s">
        <v>5</v>
      </c>
      <c r="L49" s="304" t="s">
        <v>251</v>
      </c>
      <c r="M49" s="302" t="s">
        <v>8</v>
      </c>
      <c r="N49" s="302" t="s">
        <v>258</v>
      </c>
      <c r="O49" s="302" t="s">
        <v>252</v>
      </c>
      <c r="P49" s="305" t="s">
        <v>9</v>
      </c>
      <c r="Q49" s="306" t="s">
        <v>253</v>
      </c>
    </row>
    <row r="50" spans="2:17" ht="15">
      <c r="B50" s="329">
        <v>1</v>
      </c>
      <c r="C50" s="330" t="s">
        <v>304</v>
      </c>
      <c r="D50" s="307"/>
      <c r="E50" s="331" t="s">
        <v>603</v>
      </c>
      <c r="F50" s="331" t="s">
        <v>571</v>
      </c>
      <c r="G50" s="331" t="s">
        <v>585</v>
      </c>
      <c r="H50" s="332">
        <v>6</v>
      </c>
      <c r="I50" s="333">
        <v>4</v>
      </c>
      <c r="J50" s="333"/>
      <c r="K50" s="333">
        <v>2</v>
      </c>
      <c r="L50" s="331" t="s">
        <v>433</v>
      </c>
      <c r="M50" s="331" t="s">
        <v>436</v>
      </c>
      <c r="N50" s="333"/>
      <c r="O50" s="334">
        <v>216</v>
      </c>
      <c r="P50" s="335">
        <v>12</v>
      </c>
      <c r="Q50" s="336">
        <v>4</v>
      </c>
    </row>
    <row r="51" spans="2:17" ht="15">
      <c r="B51" s="379">
        <v>2</v>
      </c>
      <c r="C51" s="380" t="s">
        <v>314</v>
      </c>
      <c r="D51" s="310" t="s">
        <v>602</v>
      </c>
      <c r="E51" s="307"/>
      <c r="F51" s="310" t="s">
        <v>584</v>
      </c>
      <c r="G51" s="310" t="s">
        <v>582</v>
      </c>
      <c r="H51" s="311">
        <v>6</v>
      </c>
      <c r="I51" s="381">
        <v>3</v>
      </c>
      <c r="J51" s="381">
        <v>1</v>
      </c>
      <c r="K51" s="381">
        <v>2</v>
      </c>
      <c r="L51" s="310" t="s">
        <v>559</v>
      </c>
      <c r="M51" s="310" t="s">
        <v>453</v>
      </c>
      <c r="N51" s="381"/>
      <c r="O51" s="382">
        <v>219</v>
      </c>
      <c r="P51" s="315">
        <v>10</v>
      </c>
      <c r="Q51" s="383" t="s">
        <v>547</v>
      </c>
    </row>
    <row r="52" spans="2:17" ht="15">
      <c r="B52" s="308">
        <v>3</v>
      </c>
      <c r="C52" s="309" t="s">
        <v>124</v>
      </c>
      <c r="D52" s="310" t="s">
        <v>570</v>
      </c>
      <c r="E52" s="310" t="s">
        <v>583</v>
      </c>
      <c r="F52" s="307"/>
      <c r="G52" s="310" t="s">
        <v>601</v>
      </c>
      <c r="H52" s="311">
        <v>6</v>
      </c>
      <c r="I52" s="312">
        <v>3</v>
      </c>
      <c r="J52" s="312">
        <v>1</v>
      </c>
      <c r="K52" s="312">
        <v>2</v>
      </c>
      <c r="L52" s="313" t="s">
        <v>560</v>
      </c>
      <c r="M52" s="313" t="s">
        <v>263</v>
      </c>
      <c r="N52" s="312"/>
      <c r="O52" s="314">
        <v>205</v>
      </c>
      <c r="P52" s="315">
        <v>10</v>
      </c>
      <c r="Q52" s="384" t="s">
        <v>224</v>
      </c>
    </row>
    <row r="53" spans="2:17" ht="15.75" thickBot="1">
      <c r="B53" s="316">
        <v>4</v>
      </c>
      <c r="C53" s="317" t="s">
        <v>305</v>
      </c>
      <c r="D53" s="318" t="s">
        <v>586</v>
      </c>
      <c r="E53" s="318" t="s">
        <v>581</v>
      </c>
      <c r="F53" s="318" t="s">
        <v>600</v>
      </c>
      <c r="G53" s="319"/>
      <c r="H53" s="320">
        <v>6</v>
      </c>
      <c r="I53" s="321">
        <v>1</v>
      </c>
      <c r="J53" s="321"/>
      <c r="K53" s="321">
        <v>5</v>
      </c>
      <c r="L53" s="322" t="s">
        <v>561</v>
      </c>
      <c r="M53" s="322" t="s">
        <v>562</v>
      </c>
      <c r="N53" s="321"/>
      <c r="O53" s="323">
        <v>169</v>
      </c>
      <c r="P53" s="324">
        <v>3</v>
      </c>
      <c r="Q53" s="385" t="s">
        <v>616</v>
      </c>
    </row>
    <row r="54" spans="2:17" ht="15.75" thickBot="1"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6"/>
      <c r="M54" s="327"/>
      <c r="N54" s="327"/>
      <c r="O54" s="327"/>
      <c r="P54" s="327"/>
      <c r="Q54" s="328"/>
    </row>
    <row r="55" spans="2:17" ht="15.75" thickBot="1">
      <c r="B55" s="301" t="s">
        <v>0</v>
      </c>
      <c r="C55" s="302" t="s">
        <v>544</v>
      </c>
      <c r="D55" s="302">
        <v>1</v>
      </c>
      <c r="E55" s="302">
        <v>2</v>
      </c>
      <c r="F55" s="302">
        <v>3</v>
      </c>
      <c r="G55" s="302">
        <v>4</v>
      </c>
      <c r="H55" s="303" t="s">
        <v>2</v>
      </c>
      <c r="I55" s="302" t="s">
        <v>3</v>
      </c>
      <c r="J55" s="302" t="s">
        <v>4</v>
      </c>
      <c r="K55" s="302" t="s">
        <v>5</v>
      </c>
      <c r="L55" s="304" t="s">
        <v>251</v>
      </c>
      <c r="M55" s="302" t="s">
        <v>8</v>
      </c>
      <c r="N55" s="302" t="s">
        <v>258</v>
      </c>
      <c r="O55" s="302" t="s">
        <v>252</v>
      </c>
      <c r="P55" s="305" t="s">
        <v>9</v>
      </c>
      <c r="Q55" s="306" t="s">
        <v>253</v>
      </c>
    </row>
    <row r="56" spans="2:17" ht="15">
      <c r="B56" s="329">
        <v>1</v>
      </c>
      <c r="C56" s="330" t="s">
        <v>307</v>
      </c>
      <c r="D56" s="307"/>
      <c r="E56" s="331" t="s">
        <v>587</v>
      </c>
      <c r="F56" s="331" t="s">
        <v>604</v>
      </c>
      <c r="G56" s="331" t="s">
        <v>572</v>
      </c>
      <c r="H56" s="332">
        <v>6</v>
      </c>
      <c r="I56" s="333">
        <v>5</v>
      </c>
      <c r="J56" s="333"/>
      <c r="K56" s="333">
        <v>1</v>
      </c>
      <c r="L56" s="331" t="s">
        <v>563</v>
      </c>
      <c r="M56" s="331" t="s">
        <v>567</v>
      </c>
      <c r="N56" s="333"/>
      <c r="O56" s="334">
        <v>235</v>
      </c>
      <c r="P56" s="335">
        <v>15</v>
      </c>
      <c r="Q56" s="336">
        <v>4</v>
      </c>
    </row>
    <row r="57" spans="2:17" ht="15">
      <c r="B57" s="379">
        <v>2</v>
      </c>
      <c r="C57" s="380" t="s">
        <v>311</v>
      </c>
      <c r="D57" s="310" t="s">
        <v>588</v>
      </c>
      <c r="E57" s="307"/>
      <c r="F57" s="310" t="s">
        <v>472</v>
      </c>
      <c r="G57" s="310" t="s">
        <v>606</v>
      </c>
      <c r="H57" s="311">
        <v>6</v>
      </c>
      <c r="I57" s="381">
        <v>5</v>
      </c>
      <c r="J57" s="381"/>
      <c r="K57" s="381">
        <v>1</v>
      </c>
      <c r="L57" s="310" t="s">
        <v>564</v>
      </c>
      <c r="M57" s="310" t="s">
        <v>261</v>
      </c>
      <c r="N57" s="381"/>
      <c r="O57" s="382">
        <v>220</v>
      </c>
      <c r="P57" s="315">
        <v>15</v>
      </c>
      <c r="Q57" s="383" t="s">
        <v>547</v>
      </c>
    </row>
    <row r="58" spans="2:17" ht="15">
      <c r="B58" s="308">
        <v>3</v>
      </c>
      <c r="C58" s="309" t="s">
        <v>235</v>
      </c>
      <c r="D58" s="310" t="s">
        <v>605</v>
      </c>
      <c r="E58" s="310" t="s">
        <v>471</v>
      </c>
      <c r="F58" s="307"/>
      <c r="G58" s="310" t="s">
        <v>589</v>
      </c>
      <c r="H58" s="311">
        <v>6</v>
      </c>
      <c r="I58" s="312">
        <v>1</v>
      </c>
      <c r="J58" s="312"/>
      <c r="K58" s="312">
        <v>5</v>
      </c>
      <c r="L58" s="313" t="s">
        <v>565</v>
      </c>
      <c r="M58" s="313" t="s">
        <v>568</v>
      </c>
      <c r="N58" s="312"/>
      <c r="O58" s="314">
        <v>196</v>
      </c>
      <c r="P58" s="315">
        <v>3</v>
      </c>
      <c r="Q58" s="384" t="s">
        <v>224</v>
      </c>
    </row>
    <row r="59" spans="2:17" ht="15.75" thickBot="1">
      <c r="B59" s="316">
        <v>4</v>
      </c>
      <c r="C59" s="386" t="s">
        <v>36</v>
      </c>
      <c r="D59" s="318" t="s">
        <v>573</v>
      </c>
      <c r="E59" s="318" t="s">
        <v>607</v>
      </c>
      <c r="F59" s="318" t="s">
        <v>590</v>
      </c>
      <c r="G59" s="319"/>
      <c r="H59" s="320">
        <v>6</v>
      </c>
      <c r="I59" s="321">
        <v>1</v>
      </c>
      <c r="J59" s="321"/>
      <c r="K59" s="321">
        <v>5</v>
      </c>
      <c r="L59" s="322" t="s">
        <v>566</v>
      </c>
      <c r="M59" s="322" t="s">
        <v>569</v>
      </c>
      <c r="N59" s="321"/>
      <c r="O59" s="323">
        <v>166</v>
      </c>
      <c r="P59" s="324">
        <v>3</v>
      </c>
      <c r="Q59" s="346">
        <v>16</v>
      </c>
    </row>
    <row r="60" spans="2:17" ht="15.75" thickBot="1">
      <c r="B60" s="325"/>
      <c r="C60" s="325"/>
      <c r="D60" s="325"/>
      <c r="E60" s="325"/>
      <c r="F60" s="325"/>
      <c r="G60" s="325"/>
      <c r="H60" s="325"/>
      <c r="I60" s="325"/>
      <c r="J60" s="325"/>
      <c r="K60" s="325"/>
      <c r="L60" s="326"/>
      <c r="M60" s="327"/>
      <c r="N60" s="327"/>
      <c r="O60" s="327"/>
      <c r="P60" s="327"/>
      <c r="Q60" s="328"/>
    </row>
    <row r="61" spans="2:17" ht="15.75" thickBot="1">
      <c r="B61" s="301" t="s">
        <v>0</v>
      </c>
      <c r="C61" s="302" t="s">
        <v>545</v>
      </c>
      <c r="D61" s="302">
        <v>1</v>
      </c>
      <c r="E61" s="302">
        <v>2</v>
      </c>
      <c r="F61" s="302">
        <v>3</v>
      </c>
      <c r="G61" s="302">
        <v>4</v>
      </c>
      <c r="H61" s="303" t="s">
        <v>2</v>
      </c>
      <c r="I61" s="302" t="s">
        <v>3</v>
      </c>
      <c r="J61" s="302" t="s">
        <v>4</v>
      </c>
      <c r="K61" s="302" t="s">
        <v>5</v>
      </c>
      <c r="L61" s="304" t="s">
        <v>251</v>
      </c>
      <c r="M61" s="302" t="s">
        <v>8</v>
      </c>
      <c r="N61" s="302" t="s">
        <v>258</v>
      </c>
      <c r="O61" s="302" t="s">
        <v>252</v>
      </c>
      <c r="P61" s="305" t="s">
        <v>9</v>
      </c>
      <c r="Q61" s="306" t="s">
        <v>253</v>
      </c>
    </row>
    <row r="62" spans="2:17" ht="15">
      <c r="B62" s="329">
        <v>1</v>
      </c>
      <c r="C62" s="330" t="s">
        <v>315</v>
      </c>
      <c r="D62" s="307"/>
      <c r="E62" s="331" t="s">
        <v>609</v>
      </c>
      <c r="F62" s="331" t="s">
        <v>595</v>
      </c>
      <c r="G62" s="331" t="s">
        <v>576</v>
      </c>
      <c r="H62" s="332">
        <v>6</v>
      </c>
      <c r="I62" s="333">
        <v>4</v>
      </c>
      <c r="J62" s="333">
        <v>1</v>
      </c>
      <c r="K62" s="333">
        <v>1</v>
      </c>
      <c r="L62" s="331" t="s">
        <v>554</v>
      </c>
      <c r="M62" s="331" t="s">
        <v>436</v>
      </c>
      <c r="N62" s="333"/>
      <c r="O62" s="334">
        <v>215</v>
      </c>
      <c r="P62" s="335">
        <v>13</v>
      </c>
      <c r="Q62" s="336">
        <v>4</v>
      </c>
    </row>
    <row r="63" spans="2:17" ht="15">
      <c r="B63" s="379">
        <v>2</v>
      </c>
      <c r="C63" s="380" t="s">
        <v>232</v>
      </c>
      <c r="D63" s="310" t="s">
        <v>608</v>
      </c>
      <c r="E63" s="307"/>
      <c r="F63" s="310" t="s">
        <v>592</v>
      </c>
      <c r="G63" s="310" t="s">
        <v>593</v>
      </c>
      <c r="H63" s="311">
        <v>6</v>
      </c>
      <c r="I63" s="381">
        <v>3</v>
      </c>
      <c r="J63" s="381"/>
      <c r="K63" s="381">
        <v>3</v>
      </c>
      <c r="L63" s="310" t="s">
        <v>555</v>
      </c>
      <c r="M63" s="310" t="s">
        <v>416</v>
      </c>
      <c r="N63" s="381"/>
      <c r="O63" s="382">
        <v>223</v>
      </c>
      <c r="P63" s="315">
        <v>9</v>
      </c>
      <c r="Q63" s="383" t="s">
        <v>547</v>
      </c>
    </row>
    <row r="64" spans="2:17" ht="15">
      <c r="B64" s="308">
        <v>3</v>
      </c>
      <c r="C64" s="309" t="s">
        <v>20</v>
      </c>
      <c r="D64" s="310" t="s">
        <v>594</v>
      </c>
      <c r="E64" s="310" t="s">
        <v>574</v>
      </c>
      <c r="F64" s="307"/>
      <c r="G64" s="310" t="s">
        <v>611</v>
      </c>
      <c r="H64" s="311">
        <v>6</v>
      </c>
      <c r="I64" s="312">
        <v>2</v>
      </c>
      <c r="J64" s="312">
        <v>2</v>
      </c>
      <c r="K64" s="312">
        <v>2</v>
      </c>
      <c r="L64" s="313" t="s">
        <v>556</v>
      </c>
      <c r="M64" s="313"/>
      <c r="N64" s="312"/>
      <c r="O64" s="314">
        <v>212</v>
      </c>
      <c r="P64" s="315">
        <v>8</v>
      </c>
      <c r="Q64" s="384" t="s">
        <v>224</v>
      </c>
    </row>
    <row r="65" spans="2:17" ht="15.75" thickBot="1">
      <c r="B65" s="316">
        <v>4</v>
      </c>
      <c r="C65" s="317" t="s">
        <v>313</v>
      </c>
      <c r="D65" s="318" t="s">
        <v>575</v>
      </c>
      <c r="E65" s="318" t="s">
        <v>591</v>
      </c>
      <c r="F65" s="318" t="s">
        <v>610</v>
      </c>
      <c r="G65" s="319"/>
      <c r="H65" s="320">
        <v>6</v>
      </c>
      <c r="I65" s="321">
        <v>1</v>
      </c>
      <c r="J65" s="321">
        <v>1</v>
      </c>
      <c r="K65" s="321">
        <v>4</v>
      </c>
      <c r="L65" s="322" t="s">
        <v>557</v>
      </c>
      <c r="M65" s="322" t="s">
        <v>558</v>
      </c>
      <c r="N65" s="321"/>
      <c r="O65" s="323">
        <v>190</v>
      </c>
      <c r="P65" s="324">
        <v>4</v>
      </c>
      <c r="Q65" s="385" t="s">
        <v>616</v>
      </c>
    </row>
    <row r="66" spans="2:17" ht="15.75" thickBot="1">
      <c r="B66" s="325"/>
      <c r="C66" s="325"/>
      <c r="D66" s="325"/>
      <c r="E66" s="325"/>
      <c r="F66" s="325"/>
      <c r="G66" s="325"/>
      <c r="H66" s="325"/>
      <c r="I66" s="325"/>
      <c r="J66" s="325"/>
      <c r="K66" s="325"/>
      <c r="L66" s="326"/>
      <c r="M66" s="327"/>
      <c r="N66" s="327"/>
      <c r="O66" s="327"/>
      <c r="P66" s="327"/>
      <c r="Q66" s="328"/>
    </row>
    <row r="67" spans="2:17" ht="15.75" thickBot="1">
      <c r="B67" s="301" t="s">
        <v>0</v>
      </c>
      <c r="C67" s="302" t="s">
        <v>546</v>
      </c>
      <c r="D67" s="302">
        <v>1</v>
      </c>
      <c r="E67" s="302">
        <v>2</v>
      </c>
      <c r="F67" s="302">
        <v>3</v>
      </c>
      <c r="G67" s="302">
        <v>4</v>
      </c>
      <c r="H67" s="303" t="s">
        <v>2</v>
      </c>
      <c r="I67" s="302" t="s">
        <v>3</v>
      </c>
      <c r="J67" s="302" t="s">
        <v>4</v>
      </c>
      <c r="K67" s="302" t="s">
        <v>5</v>
      </c>
      <c r="L67" s="304" t="s">
        <v>251</v>
      </c>
      <c r="M67" s="302" t="s">
        <v>8</v>
      </c>
      <c r="N67" s="302" t="s">
        <v>258</v>
      </c>
      <c r="O67" s="302" t="s">
        <v>252</v>
      </c>
      <c r="P67" s="305" t="s">
        <v>9</v>
      </c>
      <c r="Q67" s="306" t="s">
        <v>253</v>
      </c>
    </row>
    <row r="68" spans="2:17" ht="15">
      <c r="B68" s="329">
        <v>1</v>
      </c>
      <c r="C68" s="330" t="s">
        <v>120</v>
      </c>
      <c r="D68" s="307"/>
      <c r="E68" s="331" t="s">
        <v>599</v>
      </c>
      <c r="F68" s="331" t="s">
        <v>580</v>
      </c>
      <c r="G68" s="331" t="s">
        <v>613</v>
      </c>
      <c r="H68" s="332">
        <v>6</v>
      </c>
      <c r="I68" s="333">
        <v>6</v>
      </c>
      <c r="J68" s="333"/>
      <c r="K68" s="333"/>
      <c r="L68" s="331" t="s">
        <v>548</v>
      </c>
      <c r="M68" s="331" t="s">
        <v>552</v>
      </c>
      <c r="N68" s="333"/>
      <c r="O68" s="334">
        <v>240</v>
      </c>
      <c r="P68" s="335">
        <v>18</v>
      </c>
      <c r="Q68" s="336">
        <v>4</v>
      </c>
    </row>
    <row r="69" spans="2:17" ht="15">
      <c r="B69" s="379">
        <v>2</v>
      </c>
      <c r="C69" s="380" t="s">
        <v>34</v>
      </c>
      <c r="D69" s="310" t="s">
        <v>598</v>
      </c>
      <c r="E69" s="307"/>
      <c r="F69" s="310" t="s">
        <v>615</v>
      </c>
      <c r="G69" s="310" t="s">
        <v>578</v>
      </c>
      <c r="H69" s="311">
        <v>6</v>
      </c>
      <c r="I69" s="381">
        <v>3</v>
      </c>
      <c r="J69" s="381">
        <v>1</v>
      </c>
      <c r="K69" s="381">
        <v>2</v>
      </c>
      <c r="L69" s="310" t="s">
        <v>549</v>
      </c>
      <c r="M69" s="310" t="s">
        <v>418</v>
      </c>
      <c r="N69" s="381"/>
      <c r="O69" s="382">
        <v>225</v>
      </c>
      <c r="P69" s="315">
        <v>10</v>
      </c>
      <c r="Q69" s="383" t="s">
        <v>547</v>
      </c>
    </row>
    <row r="70" spans="2:17" ht="15">
      <c r="B70" s="308">
        <v>3</v>
      </c>
      <c r="C70" s="309" t="s">
        <v>28</v>
      </c>
      <c r="D70" s="310" t="s">
        <v>579</v>
      </c>
      <c r="E70" s="310" t="s">
        <v>614</v>
      </c>
      <c r="F70" s="307"/>
      <c r="G70" s="310" t="s">
        <v>597</v>
      </c>
      <c r="H70" s="311">
        <v>6</v>
      </c>
      <c r="I70" s="312">
        <v>1</v>
      </c>
      <c r="J70" s="312">
        <v>1</v>
      </c>
      <c r="K70" s="312">
        <v>4</v>
      </c>
      <c r="L70" s="313" t="s">
        <v>550</v>
      </c>
      <c r="M70" s="313" t="s">
        <v>553</v>
      </c>
      <c r="N70" s="312"/>
      <c r="O70" s="314">
        <v>193</v>
      </c>
      <c r="P70" s="315">
        <v>4</v>
      </c>
      <c r="Q70" s="384" t="s">
        <v>224</v>
      </c>
    </row>
    <row r="71" spans="2:17" ht="15.75" thickBot="1">
      <c r="B71" s="316">
        <v>4</v>
      </c>
      <c r="C71" s="317" t="s">
        <v>326</v>
      </c>
      <c r="D71" s="318" t="s">
        <v>612</v>
      </c>
      <c r="E71" s="318" t="s">
        <v>577</v>
      </c>
      <c r="F71" s="318" t="s">
        <v>596</v>
      </c>
      <c r="G71" s="319"/>
      <c r="H71" s="320">
        <v>6</v>
      </c>
      <c r="I71" s="321"/>
      <c r="J71" s="321">
        <v>2</v>
      </c>
      <c r="K71" s="321">
        <v>4</v>
      </c>
      <c r="L71" s="322" t="s">
        <v>551</v>
      </c>
      <c r="M71" s="322" t="s">
        <v>267</v>
      </c>
      <c r="N71" s="321"/>
      <c r="O71" s="323">
        <v>201</v>
      </c>
      <c r="P71" s="324">
        <v>2</v>
      </c>
      <c r="Q71" s="385" t="s">
        <v>616</v>
      </c>
    </row>
    <row r="73" spans="2:11" ht="19.5">
      <c r="B73" s="392"/>
      <c r="C73" s="378" t="s">
        <v>229</v>
      </c>
      <c r="D73" s="392"/>
      <c r="E73" s="392"/>
      <c r="F73" s="392"/>
      <c r="G73" s="392"/>
      <c r="H73" s="392"/>
      <c r="I73" s="392"/>
      <c r="J73" s="392"/>
      <c r="K73" s="392"/>
    </row>
    <row r="74" spans="2:11" ht="15.75" thickBot="1">
      <c r="B74" s="392"/>
      <c r="C74" s="392"/>
      <c r="D74" s="392"/>
      <c r="E74" s="392"/>
      <c r="F74" s="392"/>
      <c r="G74" s="392"/>
      <c r="H74" s="392"/>
      <c r="I74" s="392"/>
      <c r="J74" s="392"/>
      <c r="K74" s="392"/>
    </row>
    <row r="75" spans="2:17" ht="15.75" thickBot="1">
      <c r="B75" s="301" t="s">
        <v>0</v>
      </c>
      <c r="C75" s="302"/>
      <c r="D75" s="302">
        <v>1</v>
      </c>
      <c r="E75" s="302">
        <v>2</v>
      </c>
      <c r="F75" s="302">
        <v>3</v>
      </c>
      <c r="G75" s="302">
        <v>4</v>
      </c>
      <c r="H75" s="303" t="s">
        <v>2</v>
      </c>
      <c r="I75" s="302" t="s">
        <v>3</v>
      </c>
      <c r="J75" s="302" t="s">
        <v>4</v>
      </c>
      <c r="K75" s="302" t="s">
        <v>5</v>
      </c>
      <c r="L75" s="304" t="s">
        <v>251</v>
      </c>
      <c r="M75" s="302" t="s">
        <v>8</v>
      </c>
      <c r="N75" s="302" t="s">
        <v>258</v>
      </c>
      <c r="O75" s="302" t="s">
        <v>252</v>
      </c>
      <c r="P75" s="305" t="s">
        <v>9</v>
      </c>
      <c r="Q75" s="306" t="s">
        <v>253</v>
      </c>
    </row>
    <row r="76" spans="2:17" ht="15">
      <c r="B76" s="398">
        <v>1</v>
      </c>
      <c r="C76" s="412" t="s">
        <v>307</v>
      </c>
      <c r="D76" s="307"/>
      <c r="E76" s="399" t="s">
        <v>620</v>
      </c>
      <c r="F76" s="399" t="s">
        <v>626</v>
      </c>
      <c r="G76" s="399" t="s">
        <v>624</v>
      </c>
      <c r="H76" s="400">
        <v>6</v>
      </c>
      <c r="I76" s="401">
        <v>5</v>
      </c>
      <c r="J76" s="401">
        <v>1</v>
      </c>
      <c r="K76" s="401"/>
      <c r="L76" s="399" t="s">
        <v>630</v>
      </c>
      <c r="M76" s="399" t="s">
        <v>631</v>
      </c>
      <c r="N76" s="401"/>
      <c r="O76" s="402">
        <v>201</v>
      </c>
      <c r="P76" s="403">
        <f>I76*3+J76</f>
        <v>16</v>
      </c>
      <c r="Q76" s="404">
        <v>1</v>
      </c>
    </row>
    <row r="77" spans="2:17" ht="15">
      <c r="B77" s="337">
        <v>2</v>
      </c>
      <c r="C77" s="413" t="s">
        <v>315</v>
      </c>
      <c r="D77" s="339" t="s">
        <v>621</v>
      </c>
      <c r="E77" s="307"/>
      <c r="F77" s="339" t="s">
        <v>622</v>
      </c>
      <c r="G77" s="339" t="s">
        <v>628</v>
      </c>
      <c r="H77" s="340">
        <v>6</v>
      </c>
      <c r="I77" s="341">
        <v>4</v>
      </c>
      <c r="J77" s="341">
        <v>1</v>
      </c>
      <c r="K77" s="341">
        <v>1</v>
      </c>
      <c r="L77" s="339" t="s">
        <v>632</v>
      </c>
      <c r="M77" s="339" t="s">
        <v>635</v>
      </c>
      <c r="N77" s="341"/>
      <c r="O77" s="342">
        <v>192</v>
      </c>
      <c r="P77" s="395">
        <f>I77*3+J77</f>
        <v>13</v>
      </c>
      <c r="Q77" s="336">
        <v>2</v>
      </c>
    </row>
    <row r="78" spans="2:17" ht="15">
      <c r="B78" s="405">
        <v>3</v>
      </c>
      <c r="C78" s="414" t="s">
        <v>120</v>
      </c>
      <c r="D78" s="406" t="s">
        <v>627</v>
      </c>
      <c r="E78" s="406" t="s">
        <v>623</v>
      </c>
      <c r="F78" s="307"/>
      <c r="G78" s="406" t="s">
        <v>618</v>
      </c>
      <c r="H78" s="407">
        <v>6</v>
      </c>
      <c r="I78" s="408">
        <v>2</v>
      </c>
      <c r="J78" s="408"/>
      <c r="K78" s="408">
        <v>4</v>
      </c>
      <c r="L78" s="406" t="s">
        <v>633</v>
      </c>
      <c r="M78" s="406" t="s">
        <v>418</v>
      </c>
      <c r="N78" s="408"/>
      <c r="O78" s="409">
        <v>187</v>
      </c>
      <c r="P78" s="410">
        <f>I78*3+J78</f>
        <v>6</v>
      </c>
      <c r="Q78" s="411">
        <v>3</v>
      </c>
    </row>
    <row r="79" spans="2:17" ht="15.75" thickBot="1">
      <c r="B79" s="316">
        <v>4</v>
      </c>
      <c r="C79" s="380" t="s">
        <v>304</v>
      </c>
      <c r="D79" s="318" t="s">
        <v>625</v>
      </c>
      <c r="E79" s="318" t="s">
        <v>629</v>
      </c>
      <c r="F79" s="318" t="s">
        <v>619</v>
      </c>
      <c r="G79" s="319"/>
      <c r="H79" s="320">
        <v>6</v>
      </c>
      <c r="I79" s="321"/>
      <c r="J79" s="321"/>
      <c r="K79" s="321">
        <v>6</v>
      </c>
      <c r="L79" s="322" t="s">
        <v>634</v>
      </c>
      <c r="M79" s="322" t="s">
        <v>636</v>
      </c>
      <c r="N79" s="321"/>
      <c r="O79" s="323">
        <v>134</v>
      </c>
      <c r="P79" s="396">
        <f>I79*3+J79</f>
        <v>0</v>
      </c>
      <c r="Q79" s="397">
        <v>4</v>
      </c>
    </row>
  </sheetData>
  <sheetProtection/>
  <mergeCells count="2">
    <mergeCell ref="E2:F2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7"/>
  <sheetViews>
    <sheetView zoomScale="85" zoomScaleNormal="85" zoomScalePageLayoutView="0" workbookViewId="0" topLeftCell="A28">
      <selection activeCell="U21" sqref="U21"/>
    </sheetView>
  </sheetViews>
  <sheetFormatPr defaultColWidth="9.140625" defaultRowHeight="15"/>
  <cols>
    <col min="1" max="1" width="2.57421875" style="149" customWidth="1"/>
    <col min="2" max="2" width="6.140625" style="147" customWidth="1"/>
    <col min="3" max="3" width="32.8515625" style="147" customWidth="1"/>
    <col min="4" max="11" width="10.28125" style="147" customWidth="1"/>
    <col min="12" max="12" width="10.28125" style="159" customWidth="1"/>
    <col min="13" max="13" width="10.28125" style="147" customWidth="1"/>
    <col min="14" max="14" width="9.7109375" style="147" customWidth="1"/>
    <col min="15" max="16" width="10.28125" style="147" customWidth="1"/>
    <col min="17" max="17" width="10.28125" style="159" customWidth="1"/>
    <col min="18" max="27" width="10.28125" style="147" customWidth="1"/>
    <col min="28" max="31" width="9.140625" style="147" customWidth="1"/>
    <col min="32" max="16384" width="9.140625" style="147" customWidth="1"/>
  </cols>
  <sheetData>
    <row r="1" ht="15" customHeight="1">
      <c r="C1" s="3" t="s">
        <v>705</v>
      </c>
    </row>
    <row r="2" spans="3:9" ht="15" customHeight="1">
      <c r="C2" s="2" t="s">
        <v>53</v>
      </c>
      <c r="D2" s="1" t="s">
        <v>54</v>
      </c>
      <c r="E2" s="602"/>
      <c r="F2" s="603"/>
      <c r="G2" s="1" t="s">
        <v>55</v>
      </c>
      <c r="H2" s="602"/>
      <c r="I2" s="603"/>
    </row>
    <row r="3" spans="3:11" ht="15.75">
      <c r="C3" s="5" t="s">
        <v>56</v>
      </c>
      <c r="D3" s="7"/>
      <c r="E3" s="5"/>
      <c r="F3" s="5"/>
      <c r="G3" s="5"/>
      <c r="H3" s="5"/>
      <c r="I3" s="5"/>
      <c r="J3" s="6" t="s">
        <v>58</v>
      </c>
      <c r="K3" s="7"/>
    </row>
    <row r="4" spans="1:17" s="459" customFormat="1" ht="18.75">
      <c r="A4" s="149"/>
      <c r="C4" s="361"/>
      <c r="L4" s="159"/>
      <c r="Q4" s="159"/>
    </row>
    <row r="5" spans="1:17" s="459" customFormat="1" ht="21.75" thickBot="1">
      <c r="A5" s="149"/>
      <c r="C5" s="470" t="s">
        <v>410</v>
      </c>
      <c r="L5" s="159"/>
      <c r="Q5" s="159"/>
    </row>
    <row r="6" spans="1:21" s="459" customFormat="1" ht="15.75" thickBot="1">
      <c r="A6" s="149"/>
      <c r="B6" s="118" t="s">
        <v>0</v>
      </c>
      <c r="C6" s="365" t="s">
        <v>703</v>
      </c>
      <c r="D6" s="119">
        <v>1</v>
      </c>
      <c r="E6" s="119">
        <v>2</v>
      </c>
      <c r="F6" s="119">
        <v>3</v>
      </c>
      <c r="G6" s="119">
        <v>4</v>
      </c>
      <c r="H6" s="169">
        <v>5</v>
      </c>
      <c r="I6" s="119">
        <v>6</v>
      </c>
      <c r="J6" s="119">
        <v>7</v>
      </c>
      <c r="K6" s="119"/>
      <c r="L6" s="169" t="s">
        <v>2</v>
      </c>
      <c r="M6" s="119" t="s">
        <v>3</v>
      </c>
      <c r="N6" s="119" t="s">
        <v>4</v>
      </c>
      <c r="O6" s="119" t="s">
        <v>5</v>
      </c>
      <c r="P6" s="170" t="s">
        <v>251</v>
      </c>
      <c r="Q6" s="119" t="s">
        <v>8</v>
      </c>
      <c r="R6" s="119" t="s">
        <v>258</v>
      </c>
      <c r="S6" s="119" t="s">
        <v>252</v>
      </c>
      <c r="T6" s="163" t="s">
        <v>9</v>
      </c>
      <c r="U6" s="173" t="s">
        <v>253</v>
      </c>
    </row>
    <row r="7" spans="1:21" s="459" customFormat="1" ht="15">
      <c r="A7" s="149"/>
      <c r="B7" s="171">
        <v>1</v>
      </c>
      <c r="C7" s="172" t="s">
        <v>309</v>
      </c>
      <c r="D7" s="364"/>
      <c r="E7" s="164" t="s">
        <v>164</v>
      </c>
      <c r="F7" s="164" t="s">
        <v>140</v>
      </c>
      <c r="G7" s="164" t="s">
        <v>143</v>
      </c>
      <c r="H7" s="164" t="s">
        <v>143</v>
      </c>
      <c r="I7" s="164" t="s">
        <v>153</v>
      </c>
      <c r="J7" s="164" t="s">
        <v>149</v>
      </c>
      <c r="K7" s="164"/>
      <c r="L7" s="367">
        <v>6</v>
      </c>
      <c r="M7" s="164" t="s">
        <v>418</v>
      </c>
      <c r="N7" s="164" t="s">
        <v>417</v>
      </c>
      <c r="O7" s="164" t="s">
        <v>416</v>
      </c>
      <c r="P7" s="164" t="s">
        <v>677</v>
      </c>
      <c r="Q7" s="174">
        <v>8</v>
      </c>
      <c r="R7" s="164"/>
      <c r="S7" s="354" t="s">
        <v>683</v>
      </c>
      <c r="T7" s="155">
        <f>M7*2+N7</f>
        <v>8</v>
      </c>
      <c r="U7" s="356"/>
    </row>
    <row r="8" spans="1:21" s="459" customFormat="1" ht="15">
      <c r="A8" s="149"/>
      <c r="B8" s="165">
        <v>2</v>
      </c>
      <c r="C8" s="166" t="s">
        <v>15</v>
      </c>
      <c r="D8" s="155" t="s">
        <v>164</v>
      </c>
      <c r="E8" s="362"/>
      <c r="F8" s="155" t="s">
        <v>152</v>
      </c>
      <c r="G8" s="155" t="s">
        <v>140</v>
      </c>
      <c r="H8" s="155" t="s">
        <v>143</v>
      </c>
      <c r="I8" s="155" t="s">
        <v>142</v>
      </c>
      <c r="J8" s="155" t="s">
        <v>156</v>
      </c>
      <c r="K8" s="155"/>
      <c r="L8" s="368">
        <v>6</v>
      </c>
      <c r="M8" s="155" t="s">
        <v>418</v>
      </c>
      <c r="N8" s="155" t="s">
        <v>417</v>
      </c>
      <c r="O8" s="155" t="s">
        <v>416</v>
      </c>
      <c r="P8" s="155" t="s">
        <v>678</v>
      </c>
      <c r="Q8" s="175">
        <v>4</v>
      </c>
      <c r="R8" s="155"/>
      <c r="S8" s="355" t="s">
        <v>684</v>
      </c>
      <c r="T8" s="155">
        <f aca="true" t="shared" si="0" ref="T8:T13">M8*2+N8</f>
        <v>8</v>
      </c>
      <c r="U8" s="358"/>
    </row>
    <row r="9" spans="1:21" s="459" customFormat="1" ht="15">
      <c r="A9" s="149"/>
      <c r="B9" s="165">
        <v>3</v>
      </c>
      <c r="C9" s="166" t="s">
        <v>310</v>
      </c>
      <c r="D9" s="155" t="s">
        <v>140</v>
      </c>
      <c r="E9" s="155" t="s">
        <v>153</v>
      </c>
      <c r="F9" s="362"/>
      <c r="G9" s="155" t="s">
        <v>146</v>
      </c>
      <c r="H9" s="155" t="s">
        <v>145</v>
      </c>
      <c r="I9" s="155" t="s">
        <v>158</v>
      </c>
      <c r="J9" s="155" t="s">
        <v>142</v>
      </c>
      <c r="K9" s="155"/>
      <c r="L9" s="368">
        <v>6</v>
      </c>
      <c r="M9" s="155" t="s">
        <v>418</v>
      </c>
      <c r="N9" s="155" t="s">
        <v>416</v>
      </c>
      <c r="O9" s="155" t="s">
        <v>417</v>
      </c>
      <c r="P9" s="155" t="s">
        <v>679</v>
      </c>
      <c r="Q9" s="175">
        <v>3</v>
      </c>
      <c r="R9" s="155"/>
      <c r="S9" s="355" t="s">
        <v>685</v>
      </c>
      <c r="T9" s="155">
        <f t="shared" si="0"/>
        <v>7</v>
      </c>
      <c r="U9" s="357"/>
    </row>
    <row r="10" spans="1:21" s="459" customFormat="1" ht="15">
      <c r="A10" s="149"/>
      <c r="B10" s="165">
        <v>4</v>
      </c>
      <c r="C10" s="166" t="s">
        <v>13</v>
      </c>
      <c r="D10" s="155" t="s">
        <v>144</v>
      </c>
      <c r="E10" s="155" t="s">
        <v>140</v>
      </c>
      <c r="F10" s="155" t="s">
        <v>145</v>
      </c>
      <c r="G10" s="362"/>
      <c r="H10" s="155" t="s">
        <v>163</v>
      </c>
      <c r="I10" s="155" t="s">
        <v>145</v>
      </c>
      <c r="J10" s="155" t="s">
        <v>145</v>
      </c>
      <c r="K10" s="155"/>
      <c r="L10" s="368">
        <v>6</v>
      </c>
      <c r="M10" s="155" t="s">
        <v>418</v>
      </c>
      <c r="N10" s="155" t="s">
        <v>416</v>
      </c>
      <c r="O10" s="155" t="s">
        <v>417</v>
      </c>
      <c r="P10" s="155" t="s">
        <v>680</v>
      </c>
      <c r="Q10" s="175">
        <v>-1</v>
      </c>
      <c r="R10" s="155"/>
      <c r="S10" s="355" t="s">
        <v>686</v>
      </c>
      <c r="T10" s="155">
        <f t="shared" si="0"/>
        <v>7</v>
      </c>
      <c r="U10" s="357"/>
    </row>
    <row r="11" spans="1:21" s="459" customFormat="1" ht="15">
      <c r="A11" s="149"/>
      <c r="B11" s="165">
        <v>5</v>
      </c>
      <c r="C11" s="166" t="s">
        <v>24</v>
      </c>
      <c r="D11" s="155" t="s">
        <v>144</v>
      </c>
      <c r="E11" s="155" t="s">
        <v>144</v>
      </c>
      <c r="F11" s="155" t="s">
        <v>146</v>
      </c>
      <c r="G11" s="155" t="s">
        <v>162</v>
      </c>
      <c r="H11" s="362"/>
      <c r="I11" s="155" t="s">
        <v>145</v>
      </c>
      <c r="J11" s="155" t="s">
        <v>152</v>
      </c>
      <c r="K11" s="155"/>
      <c r="L11" s="368">
        <v>6</v>
      </c>
      <c r="M11" s="155" t="s">
        <v>418</v>
      </c>
      <c r="N11" s="155"/>
      <c r="O11" s="155" t="s">
        <v>418</v>
      </c>
      <c r="P11" s="155" t="s">
        <v>681</v>
      </c>
      <c r="Q11" s="175">
        <v>-2</v>
      </c>
      <c r="R11" s="155"/>
      <c r="S11" s="355" t="s">
        <v>687</v>
      </c>
      <c r="T11" s="155">
        <f t="shared" si="0"/>
        <v>6</v>
      </c>
      <c r="U11" s="357"/>
    </row>
    <row r="12" spans="1:21" s="459" customFormat="1" ht="15">
      <c r="A12" s="149"/>
      <c r="B12" s="165">
        <v>6</v>
      </c>
      <c r="C12" s="166" t="s">
        <v>126</v>
      </c>
      <c r="D12" s="155" t="s">
        <v>152</v>
      </c>
      <c r="E12" s="155" t="s">
        <v>141</v>
      </c>
      <c r="F12" s="155" t="s">
        <v>159</v>
      </c>
      <c r="G12" s="155" t="s">
        <v>146</v>
      </c>
      <c r="H12" s="155" t="s">
        <v>146</v>
      </c>
      <c r="I12" s="362"/>
      <c r="J12" s="155" t="s">
        <v>162</v>
      </c>
      <c r="K12" s="155"/>
      <c r="L12" s="368">
        <v>6</v>
      </c>
      <c r="M12" s="155" t="s">
        <v>417</v>
      </c>
      <c r="N12" s="155"/>
      <c r="O12" s="155" t="s">
        <v>432</v>
      </c>
      <c r="P12" s="155" t="s">
        <v>255</v>
      </c>
      <c r="Q12" s="175">
        <v>-4</v>
      </c>
      <c r="R12" s="155"/>
      <c r="S12" s="355" t="s">
        <v>688</v>
      </c>
      <c r="T12" s="155">
        <f t="shared" si="0"/>
        <v>4</v>
      </c>
      <c r="U12" s="358"/>
    </row>
    <row r="13" spans="1:21" s="459" customFormat="1" ht="15.75" thickBot="1">
      <c r="A13" s="149"/>
      <c r="B13" s="167">
        <v>7</v>
      </c>
      <c r="C13" s="168" t="s">
        <v>45</v>
      </c>
      <c r="D13" s="156" t="s">
        <v>150</v>
      </c>
      <c r="E13" s="156" t="s">
        <v>157</v>
      </c>
      <c r="F13" s="156" t="s">
        <v>141</v>
      </c>
      <c r="G13" s="156" t="s">
        <v>146</v>
      </c>
      <c r="H13" s="156" t="s">
        <v>153</v>
      </c>
      <c r="I13" s="156" t="s">
        <v>163</v>
      </c>
      <c r="J13" s="363"/>
      <c r="K13" s="156"/>
      <c r="L13" s="369">
        <v>6</v>
      </c>
      <c r="M13" s="156" t="s">
        <v>416</v>
      </c>
      <c r="N13" s="156"/>
      <c r="O13" s="156" t="s">
        <v>415</v>
      </c>
      <c r="P13" s="156" t="s">
        <v>682</v>
      </c>
      <c r="Q13" s="176">
        <v>-8</v>
      </c>
      <c r="R13" s="156"/>
      <c r="S13" s="472" t="s">
        <v>689</v>
      </c>
      <c r="T13" s="156">
        <f t="shared" si="0"/>
        <v>2</v>
      </c>
      <c r="U13" s="473"/>
    </row>
    <row r="14" spans="1:16" s="459" customFormat="1" ht="15.75" thickBot="1">
      <c r="A14" s="149"/>
      <c r="L14" s="471"/>
      <c r="P14" s="159"/>
    </row>
    <row r="15" spans="1:21" s="459" customFormat="1" ht="15.75" thickBot="1">
      <c r="A15" s="149"/>
      <c r="B15" s="118" t="s">
        <v>0</v>
      </c>
      <c r="C15" s="474" t="s">
        <v>704</v>
      </c>
      <c r="D15" s="119">
        <v>1</v>
      </c>
      <c r="E15" s="119">
        <v>2</v>
      </c>
      <c r="F15" s="119">
        <v>3</v>
      </c>
      <c r="G15" s="119">
        <v>4</v>
      </c>
      <c r="H15" s="169">
        <v>5</v>
      </c>
      <c r="I15" s="119">
        <v>6</v>
      </c>
      <c r="J15" s="119">
        <v>7</v>
      </c>
      <c r="K15" s="119">
        <v>8</v>
      </c>
      <c r="L15" s="370" t="s">
        <v>2</v>
      </c>
      <c r="M15" s="119" t="s">
        <v>3</v>
      </c>
      <c r="N15" s="119" t="s">
        <v>4</v>
      </c>
      <c r="O15" s="119" t="s">
        <v>5</v>
      </c>
      <c r="P15" s="170" t="s">
        <v>251</v>
      </c>
      <c r="Q15" s="119" t="s">
        <v>8</v>
      </c>
      <c r="R15" s="119" t="s">
        <v>258</v>
      </c>
      <c r="S15" s="119" t="s">
        <v>252</v>
      </c>
      <c r="T15" s="163" t="s">
        <v>9</v>
      </c>
      <c r="U15" s="173" t="s">
        <v>253</v>
      </c>
    </row>
    <row r="16" spans="1:21" s="459" customFormat="1" ht="15">
      <c r="A16" s="149"/>
      <c r="B16" s="171">
        <v>1</v>
      </c>
      <c r="C16" s="172" t="s">
        <v>302</v>
      </c>
      <c r="D16" s="364"/>
      <c r="E16" s="164" t="s">
        <v>142</v>
      </c>
      <c r="F16" s="164" t="s">
        <v>141</v>
      </c>
      <c r="G16" s="164" t="s">
        <v>158</v>
      </c>
      <c r="H16" s="164" t="s">
        <v>153</v>
      </c>
      <c r="I16" s="164" t="s">
        <v>140</v>
      </c>
      <c r="J16" s="164" t="s">
        <v>228</v>
      </c>
      <c r="K16" s="164" t="s">
        <v>228</v>
      </c>
      <c r="L16" s="367">
        <v>7</v>
      </c>
      <c r="M16" s="164" t="s">
        <v>432</v>
      </c>
      <c r="N16" s="164" t="s">
        <v>416</v>
      </c>
      <c r="O16" s="164" t="s">
        <v>417</v>
      </c>
      <c r="P16" s="164" t="s">
        <v>690</v>
      </c>
      <c r="Q16" s="174">
        <v>5</v>
      </c>
      <c r="R16" s="164"/>
      <c r="S16" s="164" t="s">
        <v>698</v>
      </c>
      <c r="T16" s="155">
        <f>M16*2+N16</f>
        <v>9</v>
      </c>
      <c r="U16" s="356"/>
    </row>
    <row r="17" spans="1:21" s="459" customFormat="1" ht="15">
      <c r="A17" s="149"/>
      <c r="B17" s="165">
        <v>2</v>
      </c>
      <c r="C17" s="166" t="s">
        <v>673</v>
      </c>
      <c r="D17" s="155" t="s">
        <v>141</v>
      </c>
      <c r="E17" s="362"/>
      <c r="F17" s="155" t="s">
        <v>159</v>
      </c>
      <c r="G17" s="155" t="s">
        <v>146</v>
      </c>
      <c r="H17" s="155" t="s">
        <v>158</v>
      </c>
      <c r="I17" s="155" t="s">
        <v>537</v>
      </c>
      <c r="J17" s="155" t="s">
        <v>158</v>
      </c>
      <c r="K17" s="155" t="s">
        <v>537</v>
      </c>
      <c r="L17" s="368">
        <v>7</v>
      </c>
      <c r="M17" s="155" t="s">
        <v>432</v>
      </c>
      <c r="N17" s="155"/>
      <c r="O17" s="155" t="s">
        <v>418</v>
      </c>
      <c r="P17" s="155" t="s">
        <v>691</v>
      </c>
      <c r="Q17" s="175">
        <v>10</v>
      </c>
      <c r="R17" s="155"/>
      <c r="S17" s="155" t="s">
        <v>699</v>
      </c>
      <c r="T17" s="155">
        <f aca="true" t="shared" si="1" ref="T17:T23">M17*2+N17</f>
        <v>8</v>
      </c>
      <c r="U17" s="358"/>
    </row>
    <row r="18" spans="1:21" s="459" customFormat="1" ht="15">
      <c r="A18" s="149"/>
      <c r="B18" s="165">
        <v>3</v>
      </c>
      <c r="C18" s="166" t="s">
        <v>675</v>
      </c>
      <c r="D18" s="155" t="s">
        <v>142</v>
      </c>
      <c r="E18" s="155" t="s">
        <v>158</v>
      </c>
      <c r="F18" s="362"/>
      <c r="G18" s="155" t="s">
        <v>151</v>
      </c>
      <c r="H18" s="155" t="s">
        <v>146</v>
      </c>
      <c r="I18" s="155" t="s">
        <v>140</v>
      </c>
      <c r="J18" s="155" t="s">
        <v>172</v>
      </c>
      <c r="K18" s="155" t="s">
        <v>152</v>
      </c>
      <c r="L18" s="368">
        <v>7</v>
      </c>
      <c r="M18" s="155" t="s">
        <v>418</v>
      </c>
      <c r="N18" s="155" t="s">
        <v>417</v>
      </c>
      <c r="O18" s="155" t="s">
        <v>417</v>
      </c>
      <c r="P18" s="155" t="s">
        <v>692</v>
      </c>
      <c r="Q18" s="175">
        <v>7</v>
      </c>
      <c r="R18" s="155"/>
      <c r="S18" s="155" t="s">
        <v>698</v>
      </c>
      <c r="T18" s="155">
        <f t="shared" si="1"/>
        <v>8</v>
      </c>
      <c r="U18" s="357"/>
    </row>
    <row r="19" spans="1:21" s="459" customFormat="1" ht="15">
      <c r="A19" s="149"/>
      <c r="B19" s="165">
        <v>4</v>
      </c>
      <c r="C19" s="166" t="s">
        <v>28</v>
      </c>
      <c r="D19" s="155" t="s">
        <v>159</v>
      </c>
      <c r="E19" s="155" t="s">
        <v>145</v>
      </c>
      <c r="F19" s="155" t="s">
        <v>151</v>
      </c>
      <c r="G19" s="362"/>
      <c r="H19" s="155" t="s">
        <v>140</v>
      </c>
      <c r="I19" s="155" t="s">
        <v>227</v>
      </c>
      <c r="J19" s="155" t="s">
        <v>149</v>
      </c>
      <c r="K19" s="155" t="s">
        <v>142</v>
      </c>
      <c r="L19" s="368">
        <v>7</v>
      </c>
      <c r="M19" s="155" t="s">
        <v>418</v>
      </c>
      <c r="N19" s="155" t="s">
        <v>417</v>
      </c>
      <c r="O19" s="155" t="s">
        <v>417</v>
      </c>
      <c r="P19" s="155" t="s">
        <v>693</v>
      </c>
      <c r="Q19" s="175">
        <v>2</v>
      </c>
      <c r="R19" s="155"/>
      <c r="S19" s="155" t="s">
        <v>698</v>
      </c>
      <c r="T19" s="155">
        <f t="shared" si="1"/>
        <v>8</v>
      </c>
      <c r="U19" s="357"/>
    </row>
    <row r="20" spans="1:21" s="459" customFormat="1" ht="15">
      <c r="A20" s="149"/>
      <c r="B20" s="165">
        <v>5</v>
      </c>
      <c r="C20" s="366" t="s">
        <v>48</v>
      </c>
      <c r="D20" s="155" t="s">
        <v>152</v>
      </c>
      <c r="E20" s="155" t="s">
        <v>159</v>
      </c>
      <c r="F20" s="155" t="s">
        <v>145</v>
      </c>
      <c r="G20" s="155" t="s">
        <v>140</v>
      </c>
      <c r="H20" s="362"/>
      <c r="I20" s="155" t="s">
        <v>140</v>
      </c>
      <c r="J20" s="155" t="s">
        <v>163</v>
      </c>
      <c r="K20" s="155" t="s">
        <v>145</v>
      </c>
      <c r="L20" s="368">
        <v>7</v>
      </c>
      <c r="M20" s="155" t="s">
        <v>418</v>
      </c>
      <c r="N20" s="155" t="s">
        <v>417</v>
      </c>
      <c r="O20" s="155" t="s">
        <v>417</v>
      </c>
      <c r="P20" s="155" t="s">
        <v>694</v>
      </c>
      <c r="Q20" s="175">
        <v>0</v>
      </c>
      <c r="R20" s="155"/>
      <c r="S20" s="155" t="s">
        <v>700</v>
      </c>
      <c r="T20" s="155">
        <f t="shared" si="1"/>
        <v>8</v>
      </c>
      <c r="U20" s="357"/>
    </row>
    <row r="21" spans="1:21" s="459" customFormat="1" ht="15">
      <c r="A21" s="606"/>
      <c r="B21" s="165">
        <v>6</v>
      </c>
      <c r="C21" s="166" t="s">
        <v>238</v>
      </c>
      <c r="D21" s="155" t="s">
        <v>140</v>
      </c>
      <c r="E21" s="155" t="s">
        <v>536</v>
      </c>
      <c r="F21" s="155" t="s">
        <v>140</v>
      </c>
      <c r="G21" s="155" t="s">
        <v>228</v>
      </c>
      <c r="H21" s="155" t="s">
        <v>140</v>
      </c>
      <c r="I21" s="362"/>
      <c r="J21" s="155" t="s">
        <v>146</v>
      </c>
      <c r="K21" s="155" t="s">
        <v>145</v>
      </c>
      <c r="L21" s="368">
        <v>7</v>
      </c>
      <c r="M21" s="155" t="s">
        <v>417</v>
      </c>
      <c r="N21" s="155" t="s">
        <v>418</v>
      </c>
      <c r="O21" s="155" t="s">
        <v>417</v>
      </c>
      <c r="P21" s="155" t="s">
        <v>695</v>
      </c>
      <c r="Q21" s="175">
        <v>-1</v>
      </c>
      <c r="R21" s="155"/>
      <c r="S21" s="155" t="s">
        <v>701</v>
      </c>
      <c r="T21" s="155">
        <f t="shared" si="1"/>
        <v>7</v>
      </c>
      <c r="U21" s="357"/>
    </row>
    <row r="22" spans="1:21" s="459" customFormat="1" ht="15">
      <c r="A22" s="606"/>
      <c r="B22" s="165">
        <v>7</v>
      </c>
      <c r="C22" s="166" t="s">
        <v>674</v>
      </c>
      <c r="D22" s="155" t="s">
        <v>227</v>
      </c>
      <c r="E22" s="155" t="s">
        <v>159</v>
      </c>
      <c r="F22" s="155" t="s">
        <v>171</v>
      </c>
      <c r="G22" s="155" t="s">
        <v>150</v>
      </c>
      <c r="H22" s="155" t="s">
        <v>162</v>
      </c>
      <c r="I22" s="155" t="s">
        <v>145</v>
      </c>
      <c r="J22" s="362"/>
      <c r="K22" s="155" t="s">
        <v>141</v>
      </c>
      <c r="L22" s="368">
        <v>7</v>
      </c>
      <c r="M22" s="155" t="s">
        <v>418</v>
      </c>
      <c r="N22" s="155"/>
      <c r="O22" s="155" t="s">
        <v>432</v>
      </c>
      <c r="P22" s="155" t="s">
        <v>696</v>
      </c>
      <c r="Q22" s="175">
        <v>-10</v>
      </c>
      <c r="R22" s="155"/>
      <c r="S22" s="155" t="s">
        <v>684</v>
      </c>
      <c r="T22" s="155">
        <f t="shared" si="1"/>
        <v>6</v>
      </c>
      <c r="U22" s="357"/>
    </row>
    <row r="23" spans="1:21" s="459" customFormat="1" ht="15.75" thickBot="1">
      <c r="A23" s="606"/>
      <c r="B23" s="167">
        <v>8</v>
      </c>
      <c r="C23" s="168" t="s">
        <v>305</v>
      </c>
      <c r="D23" s="156" t="s">
        <v>227</v>
      </c>
      <c r="E23" s="156" t="s">
        <v>536</v>
      </c>
      <c r="F23" s="156" t="s">
        <v>153</v>
      </c>
      <c r="G23" s="156" t="s">
        <v>141</v>
      </c>
      <c r="H23" s="156" t="s">
        <v>146</v>
      </c>
      <c r="I23" s="156" t="s">
        <v>146</v>
      </c>
      <c r="J23" s="156" t="s">
        <v>142</v>
      </c>
      <c r="K23" s="363"/>
      <c r="L23" s="369">
        <v>7</v>
      </c>
      <c r="M23" s="156" t="s">
        <v>416</v>
      </c>
      <c r="N23" s="156"/>
      <c r="O23" s="156" t="s">
        <v>419</v>
      </c>
      <c r="P23" s="156" t="s">
        <v>697</v>
      </c>
      <c r="Q23" s="176">
        <v>-13</v>
      </c>
      <c r="R23" s="156"/>
      <c r="S23" s="156" t="s">
        <v>702</v>
      </c>
      <c r="T23" s="156">
        <f t="shared" si="1"/>
        <v>2</v>
      </c>
      <c r="U23" s="473"/>
    </row>
    <row r="24" spans="1:19" ht="15.75" customHeight="1">
      <c r="A24" s="606"/>
      <c r="B24" s="459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59"/>
      <c r="S24" s="300"/>
    </row>
    <row r="25" ht="21.75" thickBot="1">
      <c r="C25" s="470" t="s">
        <v>858</v>
      </c>
    </row>
    <row r="26" spans="1:21" s="530" customFormat="1" ht="15.75" thickBot="1">
      <c r="A26" s="149"/>
      <c r="B26" s="118" t="s">
        <v>0</v>
      </c>
      <c r="C26" s="365" t="s">
        <v>859</v>
      </c>
      <c r="D26" s="119">
        <v>1</v>
      </c>
      <c r="E26" s="119">
        <v>2</v>
      </c>
      <c r="F26" s="119">
        <v>3</v>
      </c>
      <c r="G26" s="119">
        <v>4</v>
      </c>
      <c r="H26" s="169">
        <v>5</v>
      </c>
      <c r="I26" s="119">
        <v>6</v>
      </c>
      <c r="J26" s="119"/>
      <c r="K26" s="119"/>
      <c r="L26" s="169" t="s">
        <v>2</v>
      </c>
      <c r="M26" s="119" t="s">
        <v>3</v>
      </c>
      <c r="N26" s="119" t="s">
        <v>4</v>
      </c>
      <c r="O26" s="119" t="s">
        <v>5</v>
      </c>
      <c r="P26" s="170" t="s">
        <v>251</v>
      </c>
      <c r="Q26" s="119" t="s">
        <v>8</v>
      </c>
      <c r="R26" s="119" t="s">
        <v>258</v>
      </c>
      <c r="S26" s="119" t="s">
        <v>252</v>
      </c>
      <c r="T26" s="163" t="s">
        <v>9</v>
      </c>
      <c r="U26" s="173" t="s">
        <v>253</v>
      </c>
    </row>
    <row r="27" spans="1:21" s="530" customFormat="1" ht="15">
      <c r="A27" s="149"/>
      <c r="B27" s="532">
        <v>1</v>
      </c>
      <c r="C27" s="533" t="s">
        <v>48</v>
      </c>
      <c r="D27" s="364"/>
      <c r="E27" s="536" t="s">
        <v>249</v>
      </c>
      <c r="F27" s="536" t="s">
        <v>145</v>
      </c>
      <c r="G27" s="536" t="s">
        <v>147</v>
      </c>
      <c r="H27" s="536" t="s">
        <v>145</v>
      </c>
      <c r="I27" s="536" t="s">
        <v>145</v>
      </c>
      <c r="J27" s="536"/>
      <c r="K27" s="536"/>
      <c r="L27" s="537">
        <v>5</v>
      </c>
      <c r="M27" s="536" t="s">
        <v>432</v>
      </c>
      <c r="N27" s="536"/>
      <c r="O27" s="536" t="s">
        <v>416</v>
      </c>
      <c r="P27" s="536" t="s">
        <v>864</v>
      </c>
      <c r="Q27" s="538">
        <v>7</v>
      </c>
      <c r="R27" s="536"/>
      <c r="S27" s="539" t="s">
        <v>869</v>
      </c>
      <c r="T27" s="540">
        <f aca="true" t="shared" si="2" ref="T27:T32">M27*2+N27-R27*7</f>
        <v>8</v>
      </c>
      <c r="U27" s="545">
        <v>20</v>
      </c>
    </row>
    <row r="28" spans="1:21" s="530" customFormat="1" ht="15">
      <c r="A28" s="149"/>
      <c r="B28" s="534">
        <v>2</v>
      </c>
      <c r="C28" s="535" t="s">
        <v>314</v>
      </c>
      <c r="D28" s="540" t="s">
        <v>250</v>
      </c>
      <c r="E28" s="362"/>
      <c r="F28" s="540" t="s">
        <v>148</v>
      </c>
      <c r="G28" s="540" t="s">
        <v>140</v>
      </c>
      <c r="H28" s="540" t="s">
        <v>160</v>
      </c>
      <c r="I28" s="540" t="s">
        <v>162</v>
      </c>
      <c r="J28" s="540"/>
      <c r="K28" s="540"/>
      <c r="L28" s="541">
        <v>5</v>
      </c>
      <c r="M28" s="540" t="s">
        <v>418</v>
      </c>
      <c r="N28" s="540" t="s">
        <v>416</v>
      </c>
      <c r="O28" s="540" t="s">
        <v>416</v>
      </c>
      <c r="P28" s="540" t="s">
        <v>865</v>
      </c>
      <c r="Q28" s="542"/>
      <c r="R28" s="540"/>
      <c r="S28" s="543" t="s">
        <v>870</v>
      </c>
      <c r="T28" s="540">
        <f t="shared" si="2"/>
        <v>7</v>
      </c>
      <c r="U28" s="544">
        <v>20</v>
      </c>
    </row>
    <row r="29" spans="1:21" s="530" customFormat="1" ht="15">
      <c r="A29" s="149"/>
      <c r="B29" s="165">
        <v>3</v>
      </c>
      <c r="C29" s="166" t="s">
        <v>116</v>
      </c>
      <c r="D29" s="155" t="s">
        <v>146</v>
      </c>
      <c r="E29" s="155" t="s">
        <v>147</v>
      </c>
      <c r="F29" s="362"/>
      <c r="G29" s="155" t="s">
        <v>143</v>
      </c>
      <c r="H29" s="155" t="s">
        <v>900</v>
      </c>
      <c r="I29" s="155" t="s">
        <v>157</v>
      </c>
      <c r="J29" s="155"/>
      <c r="K29" s="155"/>
      <c r="L29" s="368">
        <v>5</v>
      </c>
      <c r="M29" s="155" t="s">
        <v>418</v>
      </c>
      <c r="N29" s="155"/>
      <c r="O29" s="155" t="s">
        <v>417</v>
      </c>
      <c r="P29" s="155" t="s">
        <v>866</v>
      </c>
      <c r="Q29" s="175">
        <v>12</v>
      </c>
      <c r="R29" s="155"/>
      <c r="S29" s="355" t="s">
        <v>687</v>
      </c>
      <c r="T29" s="155">
        <f t="shared" si="2"/>
        <v>6</v>
      </c>
      <c r="U29" s="358">
        <v>20</v>
      </c>
    </row>
    <row r="30" spans="1:21" s="530" customFormat="1" ht="15">
      <c r="A30" s="149"/>
      <c r="B30" s="165">
        <v>4</v>
      </c>
      <c r="C30" s="166" t="s">
        <v>315</v>
      </c>
      <c r="D30" s="155" t="s">
        <v>148</v>
      </c>
      <c r="E30" s="155" t="s">
        <v>140</v>
      </c>
      <c r="F30" s="155" t="s">
        <v>144</v>
      </c>
      <c r="G30" s="362"/>
      <c r="H30" s="155" t="s">
        <v>846</v>
      </c>
      <c r="I30" s="155" t="s">
        <v>164</v>
      </c>
      <c r="J30" s="155"/>
      <c r="K30" s="155"/>
      <c r="L30" s="368">
        <v>5</v>
      </c>
      <c r="M30" s="155" t="s">
        <v>416</v>
      </c>
      <c r="N30" s="155" t="s">
        <v>417</v>
      </c>
      <c r="O30" s="155" t="s">
        <v>417</v>
      </c>
      <c r="P30" s="155" t="s">
        <v>867</v>
      </c>
      <c r="Q30" s="175">
        <v>-10</v>
      </c>
      <c r="R30" s="155"/>
      <c r="S30" s="355" t="s">
        <v>869</v>
      </c>
      <c r="T30" s="155">
        <f t="shared" si="2"/>
        <v>4</v>
      </c>
      <c r="U30" s="357" t="s">
        <v>929</v>
      </c>
    </row>
    <row r="31" spans="1:21" s="530" customFormat="1" ht="15">
      <c r="A31" s="149"/>
      <c r="B31" s="165">
        <v>5</v>
      </c>
      <c r="C31" s="166" t="s">
        <v>317</v>
      </c>
      <c r="D31" s="155" t="s">
        <v>146</v>
      </c>
      <c r="E31" s="155" t="s">
        <v>161</v>
      </c>
      <c r="F31" s="155" t="s">
        <v>899</v>
      </c>
      <c r="G31" s="155" t="s">
        <v>845</v>
      </c>
      <c r="H31" s="362"/>
      <c r="I31" s="155" t="s">
        <v>162</v>
      </c>
      <c r="J31" s="155"/>
      <c r="K31" s="155"/>
      <c r="L31" s="368">
        <v>5</v>
      </c>
      <c r="M31" s="155" t="s">
        <v>417</v>
      </c>
      <c r="N31" s="155"/>
      <c r="O31" s="155" t="s">
        <v>418</v>
      </c>
      <c r="P31" s="155" t="s">
        <v>616</v>
      </c>
      <c r="Q31" s="175">
        <v>-2</v>
      </c>
      <c r="R31" s="155"/>
      <c r="S31" s="355" t="s">
        <v>871</v>
      </c>
      <c r="T31" s="155">
        <f t="shared" si="2"/>
        <v>4</v>
      </c>
      <c r="U31" s="357" t="s">
        <v>930</v>
      </c>
    </row>
    <row r="32" spans="1:21" s="530" customFormat="1" ht="15.75" thickBot="1">
      <c r="A32" s="149"/>
      <c r="B32" s="167">
        <v>6</v>
      </c>
      <c r="C32" s="168" t="s">
        <v>310</v>
      </c>
      <c r="D32" s="156" t="s">
        <v>146</v>
      </c>
      <c r="E32" s="156" t="s">
        <v>163</v>
      </c>
      <c r="F32" s="156" t="s">
        <v>156</v>
      </c>
      <c r="G32" s="156" t="s">
        <v>164</v>
      </c>
      <c r="H32" s="156" t="s">
        <v>163</v>
      </c>
      <c r="I32" s="363"/>
      <c r="J32" s="156"/>
      <c r="K32" s="156"/>
      <c r="L32" s="369">
        <v>5</v>
      </c>
      <c r="M32" s="156" t="s">
        <v>863</v>
      </c>
      <c r="N32" s="156" t="s">
        <v>416</v>
      </c>
      <c r="O32" s="156" t="s">
        <v>432</v>
      </c>
      <c r="P32" s="156" t="s">
        <v>868</v>
      </c>
      <c r="Q32" s="176">
        <v>-7</v>
      </c>
      <c r="R32" s="156"/>
      <c r="S32" s="472" t="s">
        <v>872</v>
      </c>
      <c r="T32" s="156">
        <f t="shared" si="2"/>
        <v>1</v>
      </c>
      <c r="U32" s="473" t="s">
        <v>931</v>
      </c>
    </row>
    <row r="33" ht="15.75" thickBot="1">
      <c r="L33" s="547"/>
    </row>
    <row r="34" spans="1:21" s="530" customFormat="1" ht="15.75" thickBot="1">
      <c r="A34" s="149"/>
      <c r="B34" s="118" t="s">
        <v>0</v>
      </c>
      <c r="C34" s="365" t="s">
        <v>860</v>
      </c>
      <c r="D34" s="119">
        <v>1</v>
      </c>
      <c r="E34" s="119">
        <v>2</v>
      </c>
      <c r="F34" s="119">
        <v>3</v>
      </c>
      <c r="G34" s="119">
        <v>4</v>
      </c>
      <c r="H34" s="169">
        <v>5</v>
      </c>
      <c r="I34" s="119">
        <v>6</v>
      </c>
      <c r="J34" s="119"/>
      <c r="K34" s="119"/>
      <c r="L34" s="370" t="s">
        <v>2</v>
      </c>
      <c r="M34" s="119" t="s">
        <v>3</v>
      </c>
      <c r="N34" s="119" t="s">
        <v>4</v>
      </c>
      <c r="O34" s="119" t="s">
        <v>5</v>
      </c>
      <c r="P34" s="170" t="s">
        <v>251</v>
      </c>
      <c r="Q34" s="119" t="s">
        <v>8</v>
      </c>
      <c r="R34" s="119" t="s">
        <v>258</v>
      </c>
      <c r="S34" s="119" t="s">
        <v>252</v>
      </c>
      <c r="T34" s="163" t="s">
        <v>9</v>
      </c>
      <c r="U34" s="173" t="s">
        <v>253</v>
      </c>
    </row>
    <row r="35" spans="1:21" s="530" customFormat="1" ht="15">
      <c r="A35" s="149"/>
      <c r="B35" s="532">
        <v>1</v>
      </c>
      <c r="C35" s="533" t="s">
        <v>33</v>
      </c>
      <c r="D35" s="364"/>
      <c r="E35" s="536" t="s">
        <v>148</v>
      </c>
      <c r="F35" s="536" t="s">
        <v>157</v>
      </c>
      <c r="G35" s="536" t="s">
        <v>140</v>
      </c>
      <c r="H35" s="536" t="s">
        <v>151</v>
      </c>
      <c r="I35" s="536" t="s">
        <v>145</v>
      </c>
      <c r="J35" s="536"/>
      <c r="K35" s="536"/>
      <c r="L35" s="537">
        <v>5</v>
      </c>
      <c r="M35" s="536" t="s">
        <v>418</v>
      </c>
      <c r="N35" s="536" t="s">
        <v>417</v>
      </c>
      <c r="O35" s="536"/>
      <c r="P35" s="536" t="s">
        <v>873</v>
      </c>
      <c r="Q35" s="538">
        <v>7</v>
      </c>
      <c r="R35" s="536"/>
      <c r="S35" s="539" t="s">
        <v>878</v>
      </c>
      <c r="T35" s="540">
        <f aca="true" t="shared" si="3" ref="T35:T40">M35*2+N35-R35*7</f>
        <v>8</v>
      </c>
      <c r="U35" s="545">
        <v>20</v>
      </c>
    </row>
    <row r="36" spans="1:21" s="530" customFormat="1" ht="15">
      <c r="A36" s="149"/>
      <c r="B36" s="534">
        <v>2</v>
      </c>
      <c r="C36" s="535" t="s">
        <v>20</v>
      </c>
      <c r="D36" s="540" t="s">
        <v>147</v>
      </c>
      <c r="E36" s="362"/>
      <c r="F36" s="540" t="s">
        <v>158</v>
      </c>
      <c r="G36" s="540" t="s">
        <v>156</v>
      </c>
      <c r="H36" s="540" t="s">
        <v>143</v>
      </c>
      <c r="I36" s="540" t="s">
        <v>160</v>
      </c>
      <c r="J36" s="540"/>
      <c r="K36" s="540"/>
      <c r="L36" s="541">
        <v>5</v>
      </c>
      <c r="M36" s="540" t="s">
        <v>418</v>
      </c>
      <c r="N36" s="540"/>
      <c r="O36" s="540" t="s">
        <v>417</v>
      </c>
      <c r="P36" s="540" t="s">
        <v>874</v>
      </c>
      <c r="Q36" s="542">
        <v>4</v>
      </c>
      <c r="R36" s="540"/>
      <c r="S36" s="543" t="s">
        <v>879</v>
      </c>
      <c r="T36" s="540">
        <f t="shared" si="3"/>
        <v>6</v>
      </c>
      <c r="U36" s="544">
        <v>20</v>
      </c>
    </row>
    <row r="37" spans="1:21" s="530" customFormat="1" ht="15">
      <c r="A37" s="149"/>
      <c r="B37" s="165">
        <v>3</v>
      </c>
      <c r="C37" s="166" t="s">
        <v>309</v>
      </c>
      <c r="D37" s="155" t="s">
        <v>156</v>
      </c>
      <c r="E37" s="155" t="s">
        <v>159</v>
      </c>
      <c r="F37" s="362"/>
      <c r="G37" s="155" t="s">
        <v>151</v>
      </c>
      <c r="H37" s="155" t="s">
        <v>145</v>
      </c>
      <c r="I37" s="155" t="s">
        <v>165</v>
      </c>
      <c r="J37" s="155"/>
      <c r="K37" s="155"/>
      <c r="L37" s="368">
        <v>5</v>
      </c>
      <c r="M37" s="155" t="s">
        <v>417</v>
      </c>
      <c r="N37" s="155" t="s">
        <v>416</v>
      </c>
      <c r="O37" s="155" t="s">
        <v>417</v>
      </c>
      <c r="P37" s="155" t="s">
        <v>616</v>
      </c>
      <c r="Q37" s="175">
        <v>-2</v>
      </c>
      <c r="R37" s="155"/>
      <c r="S37" s="355" t="s">
        <v>880</v>
      </c>
      <c r="T37" s="155">
        <f t="shared" si="3"/>
        <v>5</v>
      </c>
      <c r="U37" s="357" t="s">
        <v>928</v>
      </c>
    </row>
    <row r="38" spans="1:21" s="530" customFormat="1" ht="15">
      <c r="A38" s="149"/>
      <c r="B38" s="165">
        <v>4</v>
      </c>
      <c r="C38" s="166" t="s">
        <v>34</v>
      </c>
      <c r="D38" s="155" t="s">
        <v>140</v>
      </c>
      <c r="E38" s="155" t="s">
        <v>157</v>
      </c>
      <c r="F38" s="155" t="s">
        <v>151</v>
      </c>
      <c r="G38" s="362"/>
      <c r="H38" s="155" t="s">
        <v>163</v>
      </c>
      <c r="I38" s="155" t="s">
        <v>146</v>
      </c>
      <c r="J38" s="155"/>
      <c r="K38" s="155"/>
      <c r="L38" s="368">
        <v>5</v>
      </c>
      <c r="M38" s="155" t="s">
        <v>416</v>
      </c>
      <c r="N38" s="155" t="s">
        <v>417</v>
      </c>
      <c r="O38" s="155" t="s">
        <v>417</v>
      </c>
      <c r="P38" s="155" t="s">
        <v>875</v>
      </c>
      <c r="Q38" s="175">
        <v>2</v>
      </c>
      <c r="R38" s="155"/>
      <c r="S38" s="355" t="s">
        <v>881</v>
      </c>
      <c r="T38" s="155">
        <f t="shared" si="3"/>
        <v>4</v>
      </c>
      <c r="U38" s="357" t="s">
        <v>929</v>
      </c>
    </row>
    <row r="39" spans="1:21" s="530" customFormat="1" ht="15">
      <c r="A39" s="149"/>
      <c r="B39" s="165">
        <v>5</v>
      </c>
      <c r="C39" s="166" t="s">
        <v>325</v>
      </c>
      <c r="D39" s="155" t="s">
        <v>151</v>
      </c>
      <c r="E39" s="155" t="s">
        <v>144</v>
      </c>
      <c r="F39" s="155" t="s">
        <v>146</v>
      </c>
      <c r="G39" s="155" t="s">
        <v>162</v>
      </c>
      <c r="H39" s="362"/>
      <c r="I39" s="155" t="s">
        <v>151</v>
      </c>
      <c r="J39" s="155"/>
      <c r="K39" s="155"/>
      <c r="L39" s="368">
        <v>5</v>
      </c>
      <c r="M39" s="155" t="s">
        <v>416</v>
      </c>
      <c r="N39" s="155" t="s">
        <v>417</v>
      </c>
      <c r="O39" s="155" t="s">
        <v>417</v>
      </c>
      <c r="P39" s="155" t="s">
        <v>876</v>
      </c>
      <c r="Q39" s="175">
        <v>-3</v>
      </c>
      <c r="R39" s="155"/>
      <c r="S39" s="355" t="s">
        <v>872</v>
      </c>
      <c r="T39" s="155">
        <f t="shared" si="3"/>
        <v>4</v>
      </c>
      <c r="U39" s="357" t="s">
        <v>930</v>
      </c>
    </row>
    <row r="40" spans="1:21" s="530" customFormat="1" ht="15.75" thickBot="1">
      <c r="A40" s="149"/>
      <c r="B40" s="167">
        <v>6</v>
      </c>
      <c r="C40" s="168" t="s">
        <v>649</v>
      </c>
      <c r="D40" s="156" t="s">
        <v>146</v>
      </c>
      <c r="E40" s="156" t="s">
        <v>161</v>
      </c>
      <c r="F40" s="156" t="s">
        <v>166</v>
      </c>
      <c r="G40" s="156" t="s">
        <v>145</v>
      </c>
      <c r="H40" s="156" t="s">
        <v>151</v>
      </c>
      <c r="I40" s="363"/>
      <c r="J40" s="156"/>
      <c r="K40" s="156"/>
      <c r="L40" s="369">
        <v>5</v>
      </c>
      <c r="M40" s="156" t="s">
        <v>416</v>
      </c>
      <c r="N40" s="156" t="s">
        <v>416</v>
      </c>
      <c r="O40" s="156" t="s">
        <v>418</v>
      </c>
      <c r="P40" s="156" t="s">
        <v>877</v>
      </c>
      <c r="Q40" s="176">
        <v>-8</v>
      </c>
      <c r="R40" s="156" t="s">
        <v>416</v>
      </c>
      <c r="S40" s="472" t="s">
        <v>882</v>
      </c>
      <c r="T40" s="156">
        <f t="shared" si="3"/>
        <v>-4</v>
      </c>
      <c r="U40" s="473" t="s">
        <v>931</v>
      </c>
    </row>
    <row r="41" ht="15.75" thickBot="1">
      <c r="L41" s="547"/>
    </row>
    <row r="42" spans="1:21" s="530" customFormat="1" ht="15.75" thickBot="1">
      <c r="A42" s="149"/>
      <c r="B42" s="118" t="s">
        <v>0</v>
      </c>
      <c r="C42" s="365" t="s">
        <v>861</v>
      </c>
      <c r="D42" s="119">
        <v>1</v>
      </c>
      <c r="E42" s="119">
        <v>2</v>
      </c>
      <c r="F42" s="119">
        <v>3</v>
      </c>
      <c r="G42" s="119">
        <v>4</v>
      </c>
      <c r="H42" s="169">
        <v>5</v>
      </c>
      <c r="I42" s="119">
        <v>6</v>
      </c>
      <c r="J42" s="119"/>
      <c r="K42" s="119"/>
      <c r="L42" s="370" t="s">
        <v>2</v>
      </c>
      <c r="M42" s="119" t="s">
        <v>3</v>
      </c>
      <c r="N42" s="119" t="s">
        <v>4</v>
      </c>
      <c r="O42" s="119" t="s">
        <v>5</v>
      </c>
      <c r="P42" s="170" t="s">
        <v>251</v>
      </c>
      <c r="Q42" s="119" t="s">
        <v>8</v>
      </c>
      <c r="R42" s="119" t="s">
        <v>258</v>
      </c>
      <c r="S42" s="119" t="s">
        <v>252</v>
      </c>
      <c r="T42" s="163" t="s">
        <v>9</v>
      </c>
      <c r="U42" s="173" t="s">
        <v>253</v>
      </c>
    </row>
    <row r="43" spans="1:21" s="530" customFormat="1" ht="15">
      <c r="A43" s="149"/>
      <c r="B43" s="532">
        <v>1</v>
      </c>
      <c r="C43" s="533" t="s">
        <v>124</v>
      </c>
      <c r="D43" s="364"/>
      <c r="E43" s="536" t="s">
        <v>145</v>
      </c>
      <c r="F43" s="536" t="s">
        <v>157</v>
      </c>
      <c r="G43" s="536" t="s">
        <v>152</v>
      </c>
      <c r="H43" s="536" t="s">
        <v>145</v>
      </c>
      <c r="I43" s="536" t="s">
        <v>141</v>
      </c>
      <c r="J43" s="536"/>
      <c r="K43" s="536"/>
      <c r="L43" s="537">
        <v>5</v>
      </c>
      <c r="M43" s="536" t="s">
        <v>432</v>
      </c>
      <c r="N43" s="536"/>
      <c r="O43" s="536" t="s">
        <v>416</v>
      </c>
      <c r="P43" s="536" t="s">
        <v>883</v>
      </c>
      <c r="Q43" s="538">
        <v>7</v>
      </c>
      <c r="R43" s="536"/>
      <c r="S43" s="539" t="s">
        <v>689</v>
      </c>
      <c r="T43" s="540">
        <f aca="true" t="shared" si="4" ref="T43:T48">M43*2+N43-R43*7</f>
        <v>8</v>
      </c>
      <c r="U43" s="545">
        <v>20</v>
      </c>
    </row>
    <row r="44" spans="1:21" s="530" customFormat="1" ht="15">
      <c r="A44" s="149"/>
      <c r="B44" s="534">
        <v>2</v>
      </c>
      <c r="C44" s="535" t="s">
        <v>13</v>
      </c>
      <c r="D44" s="540" t="s">
        <v>146</v>
      </c>
      <c r="E44" s="362"/>
      <c r="F44" s="540" t="s">
        <v>167</v>
      </c>
      <c r="G44" s="540" t="s">
        <v>142</v>
      </c>
      <c r="H44" s="540" t="s">
        <v>146</v>
      </c>
      <c r="I44" s="540" t="s">
        <v>140</v>
      </c>
      <c r="J44" s="540"/>
      <c r="K44" s="540"/>
      <c r="L44" s="541">
        <v>5</v>
      </c>
      <c r="M44" s="540" t="s">
        <v>417</v>
      </c>
      <c r="N44" s="540" t="s">
        <v>416</v>
      </c>
      <c r="O44" s="540" t="s">
        <v>417</v>
      </c>
      <c r="P44" s="540" t="s">
        <v>883</v>
      </c>
      <c r="Q44" s="542">
        <v>7</v>
      </c>
      <c r="R44" s="540"/>
      <c r="S44" s="543" t="s">
        <v>888</v>
      </c>
      <c r="T44" s="540">
        <f t="shared" si="4"/>
        <v>5</v>
      </c>
      <c r="U44" s="544">
        <v>20</v>
      </c>
    </row>
    <row r="45" spans="1:21" s="530" customFormat="1" ht="15">
      <c r="A45" s="149"/>
      <c r="B45" s="165">
        <v>3</v>
      </c>
      <c r="C45" s="166" t="s">
        <v>24</v>
      </c>
      <c r="D45" s="155" t="s">
        <v>156</v>
      </c>
      <c r="E45" s="155" t="s">
        <v>168</v>
      </c>
      <c r="F45" s="362"/>
      <c r="G45" s="155" t="s">
        <v>143</v>
      </c>
      <c r="H45" s="155" t="s">
        <v>147</v>
      </c>
      <c r="I45" s="155" t="s">
        <v>145</v>
      </c>
      <c r="J45" s="155"/>
      <c r="K45" s="155"/>
      <c r="L45" s="368">
        <v>5</v>
      </c>
      <c r="M45" s="155" t="s">
        <v>417</v>
      </c>
      <c r="N45" s="155"/>
      <c r="O45" s="155" t="s">
        <v>418</v>
      </c>
      <c r="P45" s="155" t="s">
        <v>884</v>
      </c>
      <c r="Q45" s="175">
        <v>-9</v>
      </c>
      <c r="R45" s="155"/>
      <c r="S45" s="355" t="s">
        <v>871</v>
      </c>
      <c r="T45" s="155">
        <f t="shared" si="4"/>
        <v>4</v>
      </c>
      <c r="U45" s="357" t="s">
        <v>928</v>
      </c>
    </row>
    <row r="46" spans="1:21" s="530" customFormat="1" ht="15">
      <c r="A46" s="149"/>
      <c r="B46" s="165">
        <v>4</v>
      </c>
      <c r="C46" s="166" t="s">
        <v>306</v>
      </c>
      <c r="D46" s="155" t="s">
        <v>153</v>
      </c>
      <c r="E46" s="155" t="s">
        <v>141</v>
      </c>
      <c r="F46" s="155" t="s">
        <v>144</v>
      </c>
      <c r="G46" s="362"/>
      <c r="H46" s="155" t="s">
        <v>147</v>
      </c>
      <c r="I46" s="155" t="s">
        <v>162</v>
      </c>
      <c r="J46" s="155"/>
      <c r="K46" s="155"/>
      <c r="L46" s="368">
        <v>5</v>
      </c>
      <c r="M46" s="155" t="s">
        <v>416</v>
      </c>
      <c r="N46" s="155"/>
      <c r="O46" s="155" t="s">
        <v>432</v>
      </c>
      <c r="P46" s="155" t="s">
        <v>885</v>
      </c>
      <c r="Q46" s="175">
        <v>-9</v>
      </c>
      <c r="R46" s="155"/>
      <c r="S46" s="355" t="s">
        <v>889</v>
      </c>
      <c r="T46" s="155">
        <f t="shared" si="4"/>
        <v>2</v>
      </c>
      <c r="U46" s="357" t="s">
        <v>929</v>
      </c>
    </row>
    <row r="47" spans="1:21" s="530" customFormat="1" ht="15">
      <c r="A47" s="149"/>
      <c r="B47" s="165">
        <v>5</v>
      </c>
      <c r="C47" s="166" t="s">
        <v>28</v>
      </c>
      <c r="D47" s="155" t="s">
        <v>146</v>
      </c>
      <c r="E47" s="155" t="s">
        <v>145</v>
      </c>
      <c r="F47" s="155" t="s">
        <v>148</v>
      </c>
      <c r="G47" s="155" t="s">
        <v>148</v>
      </c>
      <c r="H47" s="362"/>
      <c r="I47" s="155" t="s">
        <v>901</v>
      </c>
      <c r="J47" s="155"/>
      <c r="K47" s="155"/>
      <c r="L47" s="368">
        <v>5</v>
      </c>
      <c r="M47" s="155" t="s">
        <v>418</v>
      </c>
      <c r="N47" s="155"/>
      <c r="O47" s="155" t="s">
        <v>417</v>
      </c>
      <c r="P47" s="155" t="s">
        <v>886</v>
      </c>
      <c r="Q47" s="175">
        <v>1</v>
      </c>
      <c r="R47" s="155" t="s">
        <v>416</v>
      </c>
      <c r="S47" s="355" t="s">
        <v>890</v>
      </c>
      <c r="T47" s="155">
        <f t="shared" si="4"/>
        <v>-1</v>
      </c>
      <c r="U47" s="357" t="s">
        <v>930</v>
      </c>
    </row>
    <row r="48" spans="1:21" s="530" customFormat="1" ht="15.75" thickBot="1">
      <c r="A48" s="149"/>
      <c r="B48" s="167">
        <v>6</v>
      </c>
      <c r="C48" s="168" t="s">
        <v>313</v>
      </c>
      <c r="D48" s="156" t="s">
        <v>142</v>
      </c>
      <c r="E48" s="156" t="s">
        <v>140</v>
      </c>
      <c r="F48" s="156" t="s">
        <v>146</v>
      </c>
      <c r="G48" s="156" t="s">
        <v>163</v>
      </c>
      <c r="H48" s="156" t="s">
        <v>901</v>
      </c>
      <c r="I48" s="363"/>
      <c r="J48" s="156"/>
      <c r="K48" s="156"/>
      <c r="L48" s="369">
        <v>5</v>
      </c>
      <c r="M48" s="156" t="s">
        <v>416</v>
      </c>
      <c r="N48" s="156" t="s">
        <v>416</v>
      </c>
      <c r="O48" s="156" t="s">
        <v>418</v>
      </c>
      <c r="P48" s="156" t="s">
        <v>887</v>
      </c>
      <c r="Q48" s="176">
        <v>-3</v>
      </c>
      <c r="R48" s="156" t="s">
        <v>416</v>
      </c>
      <c r="S48" s="472" t="s">
        <v>891</v>
      </c>
      <c r="T48" s="156">
        <f t="shared" si="4"/>
        <v>-4</v>
      </c>
      <c r="U48" s="473" t="s">
        <v>931</v>
      </c>
    </row>
    <row r="49" ht="15.75" thickBot="1">
      <c r="L49" s="547"/>
    </row>
    <row r="50" spans="1:21" s="530" customFormat="1" ht="15.75" thickBot="1">
      <c r="A50" s="149"/>
      <c r="B50" s="118" t="s">
        <v>0</v>
      </c>
      <c r="C50" s="365" t="s">
        <v>862</v>
      </c>
      <c r="D50" s="119">
        <v>1</v>
      </c>
      <c r="E50" s="119">
        <v>2</v>
      </c>
      <c r="F50" s="119">
        <v>3</v>
      </c>
      <c r="G50" s="119">
        <v>4</v>
      </c>
      <c r="H50" s="169">
        <v>5</v>
      </c>
      <c r="I50" s="119">
        <v>6</v>
      </c>
      <c r="J50" s="119"/>
      <c r="K50" s="119"/>
      <c r="L50" s="370" t="s">
        <v>2</v>
      </c>
      <c r="M50" s="119" t="s">
        <v>3</v>
      </c>
      <c r="N50" s="119" t="s">
        <v>4</v>
      </c>
      <c r="O50" s="119" t="s">
        <v>5</v>
      </c>
      <c r="P50" s="170" t="s">
        <v>251</v>
      </c>
      <c r="Q50" s="119" t="s">
        <v>8</v>
      </c>
      <c r="R50" s="119" t="s">
        <v>258</v>
      </c>
      <c r="S50" s="119" t="s">
        <v>252</v>
      </c>
      <c r="T50" s="163" t="s">
        <v>9</v>
      </c>
      <c r="U50" s="173" t="s">
        <v>253</v>
      </c>
    </row>
    <row r="51" spans="1:21" s="530" customFormat="1" ht="15">
      <c r="A51" s="149"/>
      <c r="B51" s="532">
        <v>1</v>
      </c>
      <c r="C51" s="533" t="s">
        <v>312</v>
      </c>
      <c r="D51" s="364"/>
      <c r="E51" s="536" t="s">
        <v>146</v>
      </c>
      <c r="F51" s="536" t="s">
        <v>162</v>
      </c>
      <c r="G51" s="536" t="s">
        <v>145</v>
      </c>
      <c r="H51" s="536" t="s">
        <v>152</v>
      </c>
      <c r="I51" s="536" t="s">
        <v>158</v>
      </c>
      <c r="J51" s="536"/>
      <c r="K51" s="536"/>
      <c r="L51" s="537">
        <v>5</v>
      </c>
      <c r="M51" s="536" t="s">
        <v>432</v>
      </c>
      <c r="N51" s="536"/>
      <c r="O51" s="536" t="s">
        <v>416</v>
      </c>
      <c r="P51" s="536" t="s">
        <v>677</v>
      </c>
      <c r="Q51" s="538">
        <v>8</v>
      </c>
      <c r="R51" s="536"/>
      <c r="S51" s="539" t="s">
        <v>896</v>
      </c>
      <c r="T51" s="540">
        <f aca="true" t="shared" si="5" ref="T51:T56">M51*2+N51-R51*7</f>
        <v>8</v>
      </c>
      <c r="U51" s="545">
        <v>20</v>
      </c>
    </row>
    <row r="52" spans="1:21" s="530" customFormat="1" ht="15">
      <c r="A52" s="149"/>
      <c r="B52" s="534">
        <v>2</v>
      </c>
      <c r="C52" s="535" t="s">
        <v>673</v>
      </c>
      <c r="D52" s="540" t="s">
        <v>145</v>
      </c>
      <c r="E52" s="362"/>
      <c r="F52" s="540" t="s">
        <v>142</v>
      </c>
      <c r="G52" s="540" t="s">
        <v>172</v>
      </c>
      <c r="H52" s="540" t="s">
        <v>158</v>
      </c>
      <c r="I52" s="540" t="s">
        <v>140</v>
      </c>
      <c r="J52" s="540"/>
      <c r="K52" s="540"/>
      <c r="L52" s="541">
        <v>5</v>
      </c>
      <c r="M52" s="540" t="s">
        <v>418</v>
      </c>
      <c r="N52" s="540" t="s">
        <v>416</v>
      </c>
      <c r="O52" s="540" t="s">
        <v>416</v>
      </c>
      <c r="P52" s="540" t="s">
        <v>892</v>
      </c>
      <c r="Q52" s="542">
        <v>6</v>
      </c>
      <c r="R52" s="540"/>
      <c r="S52" s="543" t="s">
        <v>888</v>
      </c>
      <c r="T52" s="540">
        <f t="shared" si="5"/>
        <v>7</v>
      </c>
      <c r="U52" s="544">
        <v>20</v>
      </c>
    </row>
    <row r="53" spans="1:21" s="530" customFormat="1" ht="15">
      <c r="A53" s="149"/>
      <c r="B53" s="165">
        <v>3</v>
      </c>
      <c r="C53" s="166" t="s">
        <v>15</v>
      </c>
      <c r="D53" s="155" t="s">
        <v>163</v>
      </c>
      <c r="E53" s="155" t="s">
        <v>141</v>
      </c>
      <c r="F53" s="362"/>
      <c r="G53" s="155" t="s">
        <v>148</v>
      </c>
      <c r="H53" s="155" t="s">
        <v>142</v>
      </c>
      <c r="I53" s="155" t="s">
        <v>152</v>
      </c>
      <c r="J53" s="155"/>
      <c r="K53" s="155"/>
      <c r="L53" s="368">
        <v>5</v>
      </c>
      <c r="M53" s="155" t="s">
        <v>418</v>
      </c>
      <c r="N53" s="155"/>
      <c r="O53" s="155" t="s">
        <v>417</v>
      </c>
      <c r="P53" s="155" t="s">
        <v>874</v>
      </c>
      <c r="Q53" s="175">
        <v>4</v>
      </c>
      <c r="R53" s="155"/>
      <c r="S53" s="355" t="s">
        <v>897</v>
      </c>
      <c r="T53" s="155">
        <f t="shared" si="5"/>
        <v>6</v>
      </c>
      <c r="U53" s="357" t="s">
        <v>928</v>
      </c>
    </row>
    <row r="54" spans="1:21" s="530" customFormat="1" ht="15">
      <c r="A54" s="149"/>
      <c r="B54" s="165">
        <v>4</v>
      </c>
      <c r="C54" s="166" t="s">
        <v>125</v>
      </c>
      <c r="D54" s="155" t="s">
        <v>146</v>
      </c>
      <c r="E54" s="155" t="s">
        <v>171</v>
      </c>
      <c r="F54" s="155" t="s">
        <v>147</v>
      </c>
      <c r="G54" s="362"/>
      <c r="H54" s="155" t="s">
        <v>145</v>
      </c>
      <c r="I54" s="155" t="s">
        <v>149</v>
      </c>
      <c r="J54" s="155"/>
      <c r="K54" s="155"/>
      <c r="L54" s="368">
        <v>5</v>
      </c>
      <c r="M54" s="155" t="s">
        <v>418</v>
      </c>
      <c r="N54" s="155"/>
      <c r="O54" s="155" t="s">
        <v>417</v>
      </c>
      <c r="P54" s="155" t="s">
        <v>893</v>
      </c>
      <c r="Q54" s="175">
        <v>4</v>
      </c>
      <c r="R54" s="155"/>
      <c r="S54" s="355" t="s">
        <v>881</v>
      </c>
      <c r="T54" s="155">
        <f t="shared" si="5"/>
        <v>6</v>
      </c>
      <c r="U54" s="357" t="s">
        <v>929</v>
      </c>
    </row>
    <row r="55" spans="1:21" s="530" customFormat="1" ht="15">
      <c r="A55" s="149"/>
      <c r="B55" s="165">
        <v>5</v>
      </c>
      <c r="C55" s="166" t="s">
        <v>302</v>
      </c>
      <c r="D55" s="155" t="s">
        <v>153</v>
      </c>
      <c r="E55" s="155" t="s">
        <v>159</v>
      </c>
      <c r="F55" s="155" t="s">
        <v>141</v>
      </c>
      <c r="G55" s="155" t="s">
        <v>146</v>
      </c>
      <c r="H55" s="362"/>
      <c r="I55" s="155" t="s">
        <v>171</v>
      </c>
      <c r="J55" s="155"/>
      <c r="K55" s="155"/>
      <c r="L55" s="368">
        <v>5</v>
      </c>
      <c r="M55" s="155" t="s">
        <v>416</v>
      </c>
      <c r="N55" s="155"/>
      <c r="O55" s="155" t="s">
        <v>432</v>
      </c>
      <c r="P55" s="155" t="s">
        <v>894</v>
      </c>
      <c r="Q55" s="175">
        <v>-9</v>
      </c>
      <c r="R55" s="155"/>
      <c r="S55" s="355" t="s">
        <v>898</v>
      </c>
      <c r="T55" s="155">
        <f t="shared" si="5"/>
        <v>2</v>
      </c>
      <c r="U55" s="357" t="s">
        <v>930</v>
      </c>
    </row>
    <row r="56" spans="1:21" s="530" customFormat="1" ht="15.75" thickBot="1">
      <c r="A56" s="149"/>
      <c r="B56" s="167">
        <v>6</v>
      </c>
      <c r="C56" s="168" t="s">
        <v>232</v>
      </c>
      <c r="D56" s="156" t="s">
        <v>159</v>
      </c>
      <c r="E56" s="156" t="s">
        <v>140</v>
      </c>
      <c r="F56" s="156" t="s">
        <v>153</v>
      </c>
      <c r="G56" s="156" t="s">
        <v>150</v>
      </c>
      <c r="H56" s="156" t="s">
        <v>172</v>
      </c>
      <c r="I56" s="363"/>
      <c r="J56" s="156"/>
      <c r="K56" s="156"/>
      <c r="L56" s="369">
        <v>5</v>
      </c>
      <c r="M56" s="156"/>
      <c r="N56" s="156" t="s">
        <v>416</v>
      </c>
      <c r="O56" s="156" t="s">
        <v>432</v>
      </c>
      <c r="P56" s="156" t="s">
        <v>895</v>
      </c>
      <c r="Q56" s="176">
        <v>-13</v>
      </c>
      <c r="R56" s="156"/>
      <c r="S56" s="472" t="s">
        <v>889</v>
      </c>
      <c r="T56" s="156">
        <f t="shared" si="5"/>
        <v>1</v>
      </c>
      <c r="U56" s="473" t="s">
        <v>931</v>
      </c>
    </row>
    <row r="58" spans="2:4" ht="15">
      <c r="B58" s="549">
        <v>1</v>
      </c>
      <c r="C58" s="147" t="s">
        <v>120</v>
      </c>
      <c r="D58" s="147">
        <v>20</v>
      </c>
    </row>
    <row r="59" spans="2:4" ht="15">
      <c r="B59" s="549">
        <v>2</v>
      </c>
      <c r="C59" s="147" t="s">
        <v>671</v>
      </c>
      <c r="D59" s="147">
        <v>20</v>
      </c>
    </row>
    <row r="60" spans="2:4" ht="15">
      <c r="B60" s="549">
        <v>3</v>
      </c>
      <c r="C60" s="147" t="s">
        <v>311</v>
      </c>
      <c r="D60" s="147">
        <v>20</v>
      </c>
    </row>
    <row r="61" spans="2:4" ht="15">
      <c r="B61" s="549">
        <v>4</v>
      </c>
      <c r="C61" s="147" t="s">
        <v>236</v>
      </c>
      <c r="D61" s="550">
        <v>20</v>
      </c>
    </row>
    <row r="62" spans="2:4" ht="15">
      <c r="B62" s="549">
        <v>5</v>
      </c>
      <c r="C62" s="147" t="s">
        <v>52</v>
      </c>
      <c r="D62" s="550">
        <v>20</v>
      </c>
    </row>
    <row r="63" spans="2:4" ht="15">
      <c r="B63" s="549">
        <v>6</v>
      </c>
      <c r="C63" s="147" t="s">
        <v>303</v>
      </c>
      <c r="D63" s="550">
        <v>20</v>
      </c>
    </row>
    <row r="64" spans="2:4" ht="15">
      <c r="B64" s="549">
        <v>7</v>
      </c>
      <c r="C64" s="147" t="s">
        <v>235</v>
      </c>
      <c r="D64" s="550">
        <v>20</v>
      </c>
    </row>
    <row r="65" spans="2:4" ht="15">
      <c r="B65" s="549">
        <v>8</v>
      </c>
      <c r="C65" s="147" t="s">
        <v>29</v>
      </c>
      <c r="D65" s="550">
        <v>20</v>
      </c>
    </row>
    <row r="66" spans="2:4" ht="15">
      <c r="B66" s="549">
        <v>9</v>
      </c>
      <c r="C66" s="147" t="s">
        <v>304</v>
      </c>
      <c r="D66" s="550">
        <v>20</v>
      </c>
    </row>
    <row r="67" spans="2:4" ht="15">
      <c r="B67" s="549">
        <v>10</v>
      </c>
      <c r="C67" s="147" t="s">
        <v>307</v>
      </c>
      <c r="D67" s="550">
        <v>20</v>
      </c>
    </row>
    <row r="68" spans="2:4" ht="15">
      <c r="B68" s="549">
        <v>11</v>
      </c>
      <c r="C68" s="147" t="s">
        <v>36</v>
      </c>
      <c r="D68" s="550">
        <v>20</v>
      </c>
    </row>
    <row r="69" spans="2:3" ht="15">
      <c r="B69" s="549">
        <v>12</v>
      </c>
      <c r="C69" s="147" t="s">
        <v>48</v>
      </c>
    </row>
    <row r="70" spans="2:3" ht="15">
      <c r="B70" s="549">
        <v>13</v>
      </c>
      <c r="C70" s="147" t="s">
        <v>314</v>
      </c>
    </row>
    <row r="71" spans="2:3" ht="15">
      <c r="B71" s="549">
        <v>14</v>
      </c>
      <c r="C71" s="147" t="s">
        <v>116</v>
      </c>
    </row>
    <row r="72" spans="2:3" ht="15">
      <c r="B72" s="549">
        <v>15</v>
      </c>
      <c r="C72" s="147" t="s">
        <v>33</v>
      </c>
    </row>
    <row r="73" spans="2:3" ht="15">
      <c r="B73" s="549">
        <v>16</v>
      </c>
      <c r="C73" s="147" t="s">
        <v>20</v>
      </c>
    </row>
    <row r="74" spans="2:3" ht="15">
      <c r="B74" s="549">
        <v>17</v>
      </c>
      <c r="C74" s="147" t="s">
        <v>124</v>
      </c>
    </row>
    <row r="75" spans="2:3" ht="15">
      <c r="B75" s="549">
        <v>18</v>
      </c>
      <c r="C75" s="147" t="s">
        <v>13</v>
      </c>
    </row>
    <row r="76" spans="2:3" ht="15">
      <c r="B76" s="549">
        <v>19</v>
      </c>
      <c r="C76" s="147" t="s">
        <v>312</v>
      </c>
    </row>
    <row r="77" spans="2:3" ht="15">
      <c r="B77" s="549">
        <v>20</v>
      </c>
      <c r="C77" s="147" t="s">
        <v>673</v>
      </c>
    </row>
  </sheetData>
  <sheetProtection/>
  <mergeCells count="3">
    <mergeCell ref="H2:I2"/>
    <mergeCell ref="E2:F2"/>
    <mergeCell ref="A21:A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61"/>
  <sheetViews>
    <sheetView zoomScalePageLayoutView="0" workbookViewId="0" topLeftCell="B28">
      <selection activeCell="U39" sqref="U39"/>
    </sheetView>
  </sheetViews>
  <sheetFormatPr defaultColWidth="9.140625" defaultRowHeight="15"/>
  <cols>
    <col min="1" max="1" width="9.140625" style="459" customWidth="1"/>
    <col min="2" max="2" width="6.140625" style="459" customWidth="1"/>
    <col min="3" max="3" width="29.140625" style="459" customWidth="1"/>
    <col min="4" max="4" width="9.140625" style="459" customWidth="1"/>
    <col min="5" max="5" width="10.28125" style="459" customWidth="1"/>
    <col min="6" max="21" width="9.140625" style="459" customWidth="1"/>
    <col min="22" max="22" width="9.140625" style="564" customWidth="1"/>
    <col min="23" max="16384" width="9.140625" style="459" customWidth="1"/>
  </cols>
  <sheetData>
    <row r="1" spans="3:5" ht="15" customHeight="1">
      <c r="C1" s="618" t="s">
        <v>676</v>
      </c>
      <c r="D1" s="618"/>
      <c r="E1" s="618"/>
    </row>
    <row r="2" spans="3:9" ht="15" customHeight="1">
      <c r="C2" s="2" t="s">
        <v>53</v>
      </c>
      <c r="D2" s="1" t="s">
        <v>54</v>
      </c>
      <c r="E2" s="602">
        <v>42308</v>
      </c>
      <c r="F2" s="603"/>
      <c r="G2" s="1" t="s">
        <v>55</v>
      </c>
      <c r="H2" s="602"/>
      <c r="I2" s="603"/>
    </row>
    <row r="3" spans="3:16" ht="15.75">
      <c r="C3" s="5" t="s">
        <v>56</v>
      </c>
      <c r="D3" s="7" t="s">
        <v>57</v>
      </c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58</v>
      </c>
      <c r="P3" s="7"/>
    </row>
    <row r="4" spans="3:16" ht="15.75">
      <c r="C4" s="5"/>
      <c r="D4" s="7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7"/>
    </row>
    <row r="5" spans="3:18" ht="19.5" thickBot="1">
      <c r="C5" s="158" t="s">
        <v>410</v>
      </c>
      <c r="J5" s="4"/>
      <c r="L5" s="159"/>
      <c r="Q5" s="159"/>
      <c r="R5" s="159"/>
    </row>
    <row r="6" spans="2:18" ht="15.75" thickBot="1">
      <c r="B6" s="118" t="s">
        <v>0</v>
      </c>
      <c r="C6" s="119"/>
      <c r="D6" s="119">
        <v>1</v>
      </c>
      <c r="E6" s="119">
        <v>2</v>
      </c>
      <c r="F6" s="119">
        <v>3</v>
      </c>
      <c r="G6" s="119">
        <v>4</v>
      </c>
      <c r="H6" s="169" t="s">
        <v>2</v>
      </c>
      <c r="I6" s="119" t="s">
        <v>3</v>
      </c>
      <c r="J6" s="119" t="s">
        <v>4</v>
      </c>
      <c r="K6" s="119" t="s">
        <v>5</v>
      </c>
      <c r="L6" s="170" t="s">
        <v>251</v>
      </c>
      <c r="M6" s="119" t="s">
        <v>8</v>
      </c>
      <c r="N6" s="119" t="s">
        <v>258</v>
      </c>
      <c r="O6" s="119" t="s">
        <v>252</v>
      </c>
      <c r="P6" s="163" t="s">
        <v>9</v>
      </c>
      <c r="Q6" s="173" t="s">
        <v>652</v>
      </c>
      <c r="R6" s="173" t="s">
        <v>253</v>
      </c>
    </row>
    <row r="7" spans="2:18" ht="15">
      <c r="B7" s="171">
        <v>1</v>
      </c>
      <c r="C7" s="172" t="s">
        <v>673</v>
      </c>
      <c r="D7" s="154"/>
      <c r="E7" s="164" t="s">
        <v>152</v>
      </c>
      <c r="F7" s="164" t="s">
        <v>142</v>
      </c>
      <c r="G7" s="164" t="s">
        <v>159</v>
      </c>
      <c r="H7" s="293">
        <v>3</v>
      </c>
      <c r="I7" s="294">
        <v>2</v>
      </c>
      <c r="J7" s="294"/>
      <c r="K7" s="294">
        <v>1</v>
      </c>
      <c r="L7" s="164" t="s">
        <v>672</v>
      </c>
      <c r="M7" s="164" t="s">
        <v>416</v>
      </c>
      <c r="N7" s="294"/>
      <c r="O7" s="295">
        <v>184</v>
      </c>
      <c r="P7" s="295">
        <f>I7*3+J7</f>
        <v>6</v>
      </c>
      <c r="Q7" s="465">
        <f>I7*2+J7</f>
        <v>4</v>
      </c>
      <c r="R7" s="466"/>
    </row>
    <row r="8" spans="2:18" ht="15">
      <c r="B8" s="165">
        <v>2</v>
      </c>
      <c r="C8" s="166" t="s">
        <v>674</v>
      </c>
      <c r="D8" s="155" t="s">
        <v>153</v>
      </c>
      <c r="E8" s="90"/>
      <c r="F8" s="155" t="s">
        <v>162</v>
      </c>
      <c r="G8" s="155" t="s">
        <v>162</v>
      </c>
      <c r="H8" s="150">
        <v>3</v>
      </c>
      <c r="I8" s="462">
        <v>2</v>
      </c>
      <c r="J8" s="462"/>
      <c r="K8" s="462">
        <v>1</v>
      </c>
      <c r="L8" s="155" t="s">
        <v>265</v>
      </c>
      <c r="M8" s="155" t="s">
        <v>259</v>
      </c>
      <c r="N8" s="462"/>
      <c r="O8" s="463">
        <v>198</v>
      </c>
      <c r="P8" s="463">
        <f>I8*3+J8</f>
        <v>6</v>
      </c>
      <c r="Q8" s="464">
        <f>I8*2+J8</f>
        <v>4</v>
      </c>
      <c r="R8" s="467"/>
    </row>
    <row r="9" spans="2:18" ht="15">
      <c r="B9" s="165">
        <v>3</v>
      </c>
      <c r="C9" s="194" t="s">
        <v>232</v>
      </c>
      <c r="D9" s="155" t="s">
        <v>141</v>
      </c>
      <c r="E9" s="155" t="s">
        <v>163</v>
      </c>
      <c r="F9" s="90"/>
      <c r="G9" s="155" t="s">
        <v>143</v>
      </c>
      <c r="H9" s="150">
        <v>3</v>
      </c>
      <c r="I9" s="462">
        <v>1</v>
      </c>
      <c r="J9" s="462"/>
      <c r="K9" s="462">
        <v>2</v>
      </c>
      <c r="L9" s="155" t="s">
        <v>266</v>
      </c>
      <c r="M9" s="155"/>
      <c r="N9" s="462"/>
      <c r="O9" s="463">
        <v>207</v>
      </c>
      <c r="P9" s="463">
        <f>I9*3+J9</f>
        <v>3</v>
      </c>
      <c r="Q9" s="464">
        <f>I9*2+J9</f>
        <v>2</v>
      </c>
      <c r="R9" s="467"/>
    </row>
    <row r="10" spans="2:18" ht="15.75" thickBot="1">
      <c r="B10" s="167">
        <v>4</v>
      </c>
      <c r="C10" s="168" t="s">
        <v>675</v>
      </c>
      <c r="D10" s="156" t="s">
        <v>158</v>
      </c>
      <c r="E10" s="156" t="s">
        <v>163</v>
      </c>
      <c r="F10" s="156" t="s">
        <v>144</v>
      </c>
      <c r="G10" s="151"/>
      <c r="H10" s="152">
        <v>3</v>
      </c>
      <c r="I10" s="297">
        <v>1</v>
      </c>
      <c r="J10" s="297"/>
      <c r="K10" s="297">
        <v>2</v>
      </c>
      <c r="L10" s="156" t="s">
        <v>266</v>
      </c>
      <c r="M10" s="156"/>
      <c r="N10" s="297"/>
      <c r="O10" s="298">
        <v>192</v>
      </c>
      <c r="P10" s="298">
        <f>I10*3+J10</f>
        <v>3</v>
      </c>
      <c r="Q10" s="468">
        <f>I10*2+J10</f>
        <v>2</v>
      </c>
      <c r="R10" s="469"/>
    </row>
    <row r="11" ht="15.75" thickBot="1">
      <c r="O11" s="4"/>
    </row>
    <row r="12" spans="1:22" ht="15.75" thickBot="1">
      <c r="A12" s="70"/>
      <c r="B12" s="71" t="s">
        <v>0</v>
      </c>
      <c r="C12" s="192" t="s">
        <v>1</v>
      </c>
      <c r="D12" s="71">
        <v>1</v>
      </c>
      <c r="E12" s="73">
        <v>2</v>
      </c>
      <c r="F12" s="74">
        <v>3</v>
      </c>
      <c r="G12" s="73">
        <v>4</v>
      </c>
      <c r="H12" s="73">
        <v>5</v>
      </c>
      <c r="I12" s="73">
        <v>6</v>
      </c>
      <c r="J12" s="73">
        <v>7</v>
      </c>
      <c r="K12" s="73">
        <v>8</v>
      </c>
      <c r="L12" s="75" t="s">
        <v>2</v>
      </c>
      <c r="M12" s="71" t="s">
        <v>3</v>
      </c>
      <c r="N12" s="73" t="s">
        <v>4</v>
      </c>
      <c r="O12" s="72" t="s">
        <v>5</v>
      </c>
      <c r="P12" s="76" t="s">
        <v>6</v>
      </c>
      <c r="Q12" s="77" t="s">
        <v>7</v>
      </c>
      <c r="R12" s="77" t="s">
        <v>222</v>
      </c>
      <c r="S12" s="72" t="s">
        <v>8</v>
      </c>
      <c r="T12" s="39" t="s">
        <v>9</v>
      </c>
      <c r="U12" s="39" t="s">
        <v>670</v>
      </c>
      <c r="V12" s="160" t="s">
        <v>253</v>
      </c>
    </row>
    <row r="13" spans="1:22" ht="15" customHeight="1">
      <c r="A13" s="586" t="s">
        <v>10</v>
      </c>
      <c r="B13" s="78">
        <v>1</v>
      </c>
      <c r="C13" s="193" t="s">
        <v>315</v>
      </c>
      <c r="D13" s="79"/>
      <c r="E13" s="569" t="s">
        <v>227</v>
      </c>
      <c r="F13" s="569" t="s">
        <v>162</v>
      </c>
      <c r="G13" s="569" t="s">
        <v>143</v>
      </c>
      <c r="H13" s="569" t="s">
        <v>162</v>
      </c>
      <c r="I13" s="569" t="s">
        <v>162</v>
      </c>
      <c r="J13" s="569" t="s">
        <v>162</v>
      </c>
      <c r="K13" s="569" t="s">
        <v>162</v>
      </c>
      <c r="L13" s="81">
        <v>7</v>
      </c>
      <c r="M13" s="82">
        <v>6</v>
      </c>
      <c r="N13" s="83"/>
      <c r="O13" s="84">
        <v>1</v>
      </c>
      <c r="P13" s="85"/>
      <c r="Q13" s="86">
        <v>13</v>
      </c>
      <c r="R13" s="86">
        <v>7</v>
      </c>
      <c r="S13" s="87">
        <v>6</v>
      </c>
      <c r="T13" s="565">
        <f aca="true" t="shared" si="0" ref="T13:T20">M13*3+N13</f>
        <v>18</v>
      </c>
      <c r="U13" s="565">
        <f aca="true" t="shared" si="1" ref="U13:U20">M13*2+N13</f>
        <v>12</v>
      </c>
      <c r="V13" s="565">
        <v>16</v>
      </c>
    </row>
    <row r="14" spans="1:22" ht="15" customHeight="1">
      <c r="A14" s="586"/>
      <c r="B14" s="88">
        <v>2</v>
      </c>
      <c r="C14" s="194" t="s">
        <v>671</v>
      </c>
      <c r="D14" s="570" t="s">
        <v>228</v>
      </c>
      <c r="E14" s="90"/>
      <c r="F14" s="155" t="s">
        <v>156</v>
      </c>
      <c r="G14" s="155" t="s">
        <v>228</v>
      </c>
      <c r="H14" s="155" t="s">
        <v>638</v>
      </c>
      <c r="I14" s="155" t="s">
        <v>142</v>
      </c>
      <c r="J14" s="155" t="s">
        <v>638</v>
      </c>
      <c r="K14" s="155" t="s">
        <v>228</v>
      </c>
      <c r="L14" s="92">
        <v>7</v>
      </c>
      <c r="M14" s="93">
        <v>6</v>
      </c>
      <c r="N14" s="94"/>
      <c r="O14" s="95">
        <v>1</v>
      </c>
      <c r="P14" s="96"/>
      <c r="Q14" s="97">
        <v>12</v>
      </c>
      <c r="R14" s="97">
        <v>6</v>
      </c>
      <c r="S14" s="98">
        <v>6</v>
      </c>
      <c r="T14" s="567">
        <f t="shared" si="0"/>
        <v>18</v>
      </c>
      <c r="U14" s="565">
        <f t="shared" si="1"/>
        <v>12</v>
      </c>
      <c r="V14" s="565">
        <v>16</v>
      </c>
    </row>
    <row r="15" spans="1:22" ht="15" customHeight="1">
      <c r="A15" s="586"/>
      <c r="B15" s="88">
        <v>3</v>
      </c>
      <c r="C15" s="194" t="s">
        <v>118</v>
      </c>
      <c r="D15" s="570" t="s">
        <v>163</v>
      </c>
      <c r="E15" s="155" t="s">
        <v>157</v>
      </c>
      <c r="F15" s="90"/>
      <c r="G15" s="155" t="s">
        <v>637</v>
      </c>
      <c r="H15" s="155" t="s">
        <v>152</v>
      </c>
      <c r="I15" s="155" t="s">
        <v>144</v>
      </c>
      <c r="J15" s="155" t="s">
        <v>162</v>
      </c>
      <c r="K15" s="155" t="s">
        <v>143</v>
      </c>
      <c r="L15" s="92">
        <v>7</v>
      </c>
      <c r="M15" s="93">
        <v>4</v>
      </c>
      <c r="N15" s="94"/>
      <c r="O15" s="95">
        <v>3</v>
      </c>
      <c r="P15" s="96"/>
      <c r="Q15" s="97">
        <v>15</v>
      </c>
      <c r="R15" s="97">
        <v>9</v>
      </c>
      <c r="S15" s="98">
        <v>6</v>
      </c>
      <c r="T15" s="567">
        <f t="shared" si="0"/>
        <v>12</v>
      </c>
      <c r="U15" s="565">
        <f t="shared" si="1"/>
        <v>8</v>
      </c>
      <c r="V15" s="565">
        <v>16</v>
      </c>
    </row>
    <row r="16" spans="1:22" ht="15.75" customHeight="1" thickBot="1">
      <c r="A16" s="586"/>
      <c r="B16" s="99">
        <v>4</v>
      </c>
      <c r="C16" s="195" t="s">
        <v>235</v>
      </c>
      <c r="D16" s="571" t="s">
        <v>144</v>
      </c>
      <c r="E16" s="572" t="s">
        <v>227</v>
      </c>
      <c r="F16" s="572" t="s">
        <v>638</v>
      </c>
      <c r="G16" s="101"/>
      <c r="H16" s="572" t="s">
        <v>164</v>
      </c>
      <c r="I16" s="572" t="s">
        <v>162</v>
      </c>
      <c r="J16" s="572" t="s">
        <v>162</v>
      </c>
      <c r="K16" s="572" t="s">
        <v>140</v>
      </c>
      <c r="L16" s="102">
        <v>7</v>
      </c>
      <c r="M16" s="103">
        <v>3</v>
      </c>
      <c r="N16" s="104">
        <v>2</v>
      </c>
      <c r="O16" s="105">
        <v>2</v>
      </c>
      <c r="P16" s="106"/>
      <c r="Q16" s="107">
        <v>8</v>
      </c>
      <c r="R16" s="107">
        <v>10</v>
      </c>
      <c r="S16" s="108">
        <v>-2</v>
      </c>
      <c r="T16" s="566">
        <f t="shared" si="0"/>
        <v>11</v>
      </c>
      <c r="U16" s="566">
        <f t="shared" si="1"/>
        <v>8</v>
      </c>
      <c r="V16" s="566">
        <v>16</v>
      </c>
    </row>
    <row r="17" spans="1:22" ht="15.75" customHeight="1" thickTop="1">
      <c r="A17" s="586"/>
      <c r="B17" s="78">
        <v>5</v>
      </c>
      <c r="C17" s="193" t="s">
        <v>238</v>
      </c>
      <c r="D17" s="573" t="s">
        <v>163</v>
      </c>
      <c r="E17" s="569" t="s">
        <v>637</v>
      </c>
      <c r="F17" s="569" t="s">
        <v>153</v>
      </c>
      <c r="G17" s="569" t="s">
        <v>164</v>
      </c>
      <c r="H17" s="110"/>
      <c r="I17" s="569" t="s">
        <v>164</v>
      </c>
      <c r="J17" s="569" t="s">
        <v>638</v>
      </c>
      <c r="K17" s="569" t="s">
        <v>162</v>
      </c>
      <c r="L17" s="81">
        <v>7</v>
      </c>
      <c r="M17" s="82">
        <v>2</v>
      </c>
      <c r="N17" s="83">
        <v>2</v>
      </c>
      <c r="O17" s="84">
        <v>3</v>
      </c>
      <c r="P17" s="111"/>
      <c r="Q17" s="86">
        <v>7</v>
      </c>
      <c r="R17" s="86">
        <v>10</v>
      </c>
      <c r="S17" s="87">
        <v>-3</v>
      </c>
      <c r="T17" s="565">
        <f t="shared" si="0"/>
        <v>8</v>
      </c>
      <c r="U17" s="565">
        <f t="shared" si="1"/>
        <v>6</v>
      </c>
      <c r="V17" s="565">
        <v>32</v>
      </c>
    </row>
    <row r="18" spans="1:22" ht="15" customHeight="1">
      <c r="A18" s="586"/>
      <c r="B18" s="88">
        <v>6</v>
      </c>
      <c r="C18" s="460" t="s">
        <v>673</v>
      </c>
      <c r="D18" s="570" t="s">
        <v>163</v>
      </c>
      <c r="E18" s="155" t="s">
        <v>141</v>
      </c>
      <c r="F18" s="155" t="s">
        <v>143</v>
      </c>
      <c r="G18" s="155" t="s">
        <v>163</v>
      </c>
      <c r="H18" s="155" t="s">
        <v>164</v>
      </c>
      <c r="I18" s="90"/>
      <c r="J18" s="155" t="s">
        <v>140</v>
      </c>
      <c r="K18" s="155" t="s">
        <v>142</v>
      </c>
      <c r="L18" s="92">
        <v>7</v>
      </c>
      <c r="M18" s="93">
        <v>2</v>
      </c>
      <c r="N18" s="94">
        <v>2</v>
      </c>
      <c r="O18" s="95">
        <v>3</v>
      </c>
      <c r="P18" s="96"/>
      <c r="Q18" s="97">
        <v>12</v>
      </c>
      <c r="R18" s="97">
        <v>11</v>
      </c>
      <c r="S18" s="98">
        <v>1</v>
      </c>
      <c r="T18" s="567">
        <f t="shared" si="0"/>
        <v>8</v>
      </c>
      <c r="U18" s="567">
        <f t="shared" si="1"/>
        <v>6</v>
      </c>
      <c r="V18" s="567">
        <v>32</v>
      </c>
    </row>
    <row r="19" spans="1:22" ht="15" customHeight="1">
      <c r="A19" s="586"/>
      <c r="B19" s="88">
        <v>7</v>
      </c>
      <c r="C19" s="194" t="s">
        <v>304</v>
      </c>
      <c r="D19" s="570" t="s">
        <v>163</v>
      </c>
      <c r="E19" s="155" t="s">
        <v>637</v>
      </c>
      <c r="F19" s="155" t="s">
        <v>163</v>
      </c>
      <c r="G19" s="155" t="s">
        <v>163</v>
      </c>
      <c r="H19" s="155" t="s">
        <v>637</v>
      </c>
      <c r="I19" s="155" t="s">
        <v>140</v>
      </c>
      <c r="J19" s="90"/>
      <c r="K19" s="155" t="s">
        <v>162</v>
      </c>
      <c r="L19" s="92">
        <v>7</v>
      </c>
      <c r="M19" s="93">
        <v>1</v>
      </c>
      <c r="N19" s="94">
        <v>1</v>
      </c>
      <c r="O19" s="95">
        <v>5</v>
      </c>
      <c r="P19" s="96"/>
      <c r="Q19" s="97">
        <v>7</v>
      </c>
      <c r="R19" s="97">
        <v>11</v>
      </c>
      <c r="S19" s="98">
        <v>-4</v>
      </c>
      <c r="T19" s="567">
        <f t="shared" si="0"/>
        <v>4</v>
      </c>
      <c r="U19" s="567">
        <f t="shared" si="1"/>
        <v>3</v>
      </c>
      <c r="V19" s="567">
        <v>32</v>
      </c>
    </row>
    <row r="20" spans="1:22" ht="15" customHeight="1">
      <c r="A20" s="586"/>
      <c r="B20" s="88">
        <v>8</v>
      </c>
      <c r="C20" s="194" t="s">
        <v>29</v>
      </c>
      <c r="D20" s="570" t="s">
        <v>163</v>
      </c>
      <c r="E20" s="155" t="s">
        <v>227</v>
      </c>
      <c r="F20" s="155" t="s">
        <v>144</v>
      </c>
      <c r="G20" s="155" t="s">
        <v>140</v>
      </c>
      <c r="H20" s="155" t="s">
        <v>163</v>
      </c>
      <c r="I20" s="155" t="s">
        <v>141</v>
      </c>
      <c r="J20" s="155" t="s">
        <v>163</v>
      </c>
      <c r="K20" s="90"/>
      <c r="L20" s="92">
        <v>7</v>
      </c>
      <c r="M20" s="93"/>
      <c r="N20" s="94">
        <v>1</v>
      </c>
      <c r="O20" s="95">
        <v>6</v>
      </c>
      <c r="P20" s="96"/>
      <c r="Q20" s="97">
        <v>6</v>
      </c>
      <c r="R20" s="97">
        <v>16</v>
      </c>
      <c r="S20" s="98">
        <v>-10</v>
      </c>
      <c r="T20" s="567">
        <f t="shared" si="0"/>
        <v>1</v>
      </c>
      <c r="U20" s="567">
        <f t="shared" si="1"/>
        <v>1</v>
      </c>
      <c r="V20" s="567">
        <v>32</v>
      </c>
    </row>
    <row r="21" spans="1:22" ht="15.75" thickBot="1">
      <c r="A21" s="114"/>
      <c r="B21" s="114"/>
      <c r="C21" s="196"/>
      <c r="D21" s="114"/>
      <c r="E21" s="114"/>
      <c r="F21" s="114"/>
      <c r="G21" s="114"/>
      <c r="H21" s="114"/>
      <c r="I21" s="114"/>
      <c r="J21" s="114"/>
      <c r="K21" s="114"/>
      <c r="L21" s="114"/>
      <c r="M21" s="115"/>
      <c r="N21" s="115"/>
      <c r="O21" s="115"/>
      <c r="P21" s="115"/>
      <c r="Q21" s="115"/>
      <c r="R21" s="115"/>
      <c r="S21" s="115"/>
      <c r="T21" s="43"/>
      <c r="U21" s="43"/>
      <c r="V21" s="43"/>
    </row>
    <row r="22" spans="1:22" ht="15" customHeight="1" thickBot="1">
      <c r="A22" s="114"/>
      <c r="B22" s="71" t="s">
        <v>0</v>
      </c>
      <c r="C22" s="192"/>
      <c r="D22" s="116">
        <v>1</v>
      </c>
      <c r="E22" s="73">
        <v>2</v>
      </c>
      <c r="F22" s="73">
        <v>3</v>
      </c>
      <c r="G22" s="73">
        <v>4</v>
      </c>
      <c r="H22" s="73">
        <v>5</v>
      </c>
      <c r="I22" s="73">
        <v>6</v>
      </c>
      <c r="J22" s="73">
        <v>7</v>
      </c>
      <c r="K22" s="73">
        <v>8</v>
      </c>
      <c r="L22" s="75" t="s">
        <v>2</v>
      </c>
      <c r="M22" s="71" t="s">
        <v>3</v>
      </c>
      <c r="N22" s="73" t="s">
        <v>4</v>
      </c>
      <c r="O22" s="72" t="s">
        <v>5</v>
      </c>
      <c r="P22" s="76" t="s">
        <v>6</v>
      </c>
      <c r="Q22" s="77" t="s">
        <v>7</v>
      </c>
      <c r="R22" s="77" t="s">
        <v>222</v>
      </c>
      <c r="S22" s="72" t="s">
        <v>8</v>
      </c>
      <c r="T22" s="39" t="s">
        <v>9</v>
      </c>
      <c r="U22" s="39" t="s">
        <v>670</v>
      </c>
      <c r="V22" s="39"/>
    </row>
    <row r="23" spans="1:22" ht="15" customHeight="1">
      <c r="A23" s="586" t="s">
        <v>23</v>
      </c>
      <c r="B23" s="78">
        <v>1</v>
      </c>
      <c r="C23" s="193" t="s">
        <v>52</v>
      </c>
      <c r="D23" s="79"/>
      <c r="E23" s="569" t="s">
        <v>145</v>
      </c>
      <c r="F23" s="569" t="s">
        <v>149</v>
      </c>
      <c r="G23" s="569" t="s">
        <v>638</v>
      </c>
      <c r="H23" s="569" t="s">
        <v>159</v>
      </c>
      <c r="I23" s="569" t="s">
        <v>162</v>
      </c>
      <c r="J23" s="569" t="s">
        <v>143</v>
      </c>
      <c r="K23" s="569" t="s">
        <v>152</v>
      </c>
      <c r="L23" s="81">
        <v>7</v>
      </c>
      <c r="M23" s="82">
        <v>6</v>
      </c>
      <c r="N23" s="83"/>
      <c r="O23" s="84">
        <v>1</v>
      </c>
      <c r="P23" s="85"/>
      <c r="Q23" s="86">
        <v>18</v>
      </c>
      <c r="R23" s="86">
        <v>8</v>
      </c>
      <c r="S23" s="87">
        <v>10</v>
      </c>
      <c r="T23" s="565">
        <f aca="true" t="shared" si="2" ref="T23:T30">M23*3+N23</f>
        <v>18</v>
      </c>
      <c r="U23" s="565">
        <f aca="true" t="shared" si="3" ref="U23:U30">M23*2+N23</f>
        <v>12</v>
      </c>
      <c r="V23" s="565">
        <v>16</v>
      </c>
    </row>
    <row r="24" spans="1:22" ht="15" customHeight="1">
      <c r="A24" s="586"/>
      <c r="B24" s="88">
        <v>2</v>
      </c>
      <c r="C24" s="194" t="s">
        <v>15</v>
      </c>
      <c r="D24" s="570" t="s">
        <v>146</v>
      </c>
      <c r="E24" s="90"/>
      <c r="F24" s="155" t="s">
        <v>146</v>
      </c>
      <c r="G24" s="155" t="s">
        <v>157</v>
      </c>
      <c r="H24" s="155" t="s">
        <v>162</v>
      </c>
      <c r="I24" s="155" t="s">
        <v>228</v>
      </c>
      <c r="J24" s="155" t="s">
        <v>154</v>
      </c>
      <c r="K24" s="155" t="s">
        <v>638</v>
      </c>
      <c r="L24" s="92">
        <v>7</v>
      </c>
      <c r="M24" s="93">
        <v>5</v>
      </c>
      <c r="N24" s="94"/>
      <c r="O24" s="95">
        <v>2</v>
      </c>
      <c r="P24" s="96"/>
      <c r="Q24" s="97">
        <v>19</v>
      </c>
      <c r="R24" s="97">
        <v>10</v>
      </c>
      <c r="S24" s="98">
        <v>9</v>
      </c>
      <c r="T24" s="567">
        <f t="shared" si="2"/>
        <v>15</v>
      </c>
      <c r="U24" s="565">
        <f t="shared" si="3"/>
        <v>10</v>
      </c>
      <c r="V24" s="565">
        <v>16</v>
      </c>
    </row>
    <row r="25" spans="1:22" ht="15.75" customHeight="1">
      <c r="A25" s="586"/>
      <c r="B25" s="88">
        <v>3</v>
      </c>
      <c r="C25" s="194" t="s">
        <v>305</v>
      </c>
      <c r="D25" s="570" t="s">
        <v>150</v>
      </c>
      <c r="E25" s="155" t="s">
        <v>145</v>
      </c>
      <c r="F25" s="90"/>
      <c r="G25" s="155" t="s">
        <v>638</v>
      </c>
      <c r="H25" s="155" t="s">
        <v>162</v>
      </c>
      <c r="I25" s="155" t="s">
        <v>638</v>
      </c>
      <c r="J25" s="155" t="s">
        <v>228</v>
      </c>
      <c r="K25" s="155" t="s">
        <v>163</v>
      </c>
      <c r="L25" s="92">
        <v>7</v>
      </c>
      <c r="M25" s="93">
        <v>5</v>
      </c>
      <c r="N25" s="94"/>
      <c r="O25" s="95">
        <v>2</v>
      </c>
      <c r="P25" s="96"/>
      <c r="Q25" s="97">
        <v>10</v>
      </c>
      <c r="R25" s="97">
        <v>10</v>
      </c>
      <c r="S25" s="98"/>
      <c r="T25" s="567">
        <f t="shared" si="2"/>
        <v>15</v>
      </c>
      <c r="U25" s="565">
        <f t="shared" si="3"/>
        <v>10</v>
      </c>
      <c r="V25" s="565">
        <v>16</v>
      </c>
    </row>
    <row r="26" spans="1:22" ht="15.75" customHeight="1" thickBot="1">
      <c r="A26" s="586"/>
      <c r="B26" s="99">
        <v>4</v>
      </c>
      <c r="C26" s="195" t="s">
        <v>45</v>
      </c>
      <c r="D26" s="571" t="s">
        <v>637</v>
      </c>
      <c r="E26" s="572" t="s">
        <v>156</v>
      </c>
      <c r="F26" s="572" t="s">
        <v>637</v>
      </c>
      <c r="G26" s="101"/>
      <c r="H26" s="572" t="s">
        <v>162</v>
      </c>
      <c r="I26" s="572" t="s">
        <v>140</v>
      </c>
      <c r="J26" s="572" t="s">
        <v>228</v>
      </c>
      <c r="K26" s="572" t="s">
        <v>638</v>
      </c>
      <c r="L26" s="102">
        <v>7</v>
      </c>
      <c r="M26" s="103">
        <v>3</v>
      </c>
      <c r="N26" s="104">
        <v>1</v>
      </c>
      <c r="O26" s="105">
        <v>3</v>
      </c>
      <c r="P26" s="106"/>
      <c r="Q26" s="107">
        <v>8</v>
      </c>
      <c r="R26" s="107">
        <v>10</v>
      </c>
      <c r="S26" s="108">
        <v>-2</v>
      </c>
      <c r="T26" s="566">
        <f t="shared" si="2"/>
        <v>10</v>
      </c>
      <c r="U26" s="566">
        <f t="shared" si="3"/>
        <v>7</v>
      </c>
      <c r="V26" s="566">
        <v>16</v>
      </c>
    </row>
    <row r="27" spans="1:22" ht="15" customHeight="1" thickTop="1">
      <c r="A27" s="586"/>
      <c r="B27" s="78">
        <v>5</v>
      </c>
      <c r="C27" s="193" t="s">
        <v>116</v>
      </c>
      <c r="D27" s="573" t="s">
        <v>158</v>
      </c>
      <c r="E27" s="569" t="s">
        <v>163</v>
      </c>
      <c r="F27" s="569" t="s">
        <v>163</v>
      </c>
      <c r="G27" s="569" t="s">
        <v>164</v>
      </c>
      <c r="H27" s="110"/>
      <c r="I27" s="569" t="s">
        <v>141</v>
      </c>
      <c r="J27" s="569" t="s">
        <v>638</v>
      </c>
      <c r="K27" s="569" t="s">
        <v>638</v>
      </c>
      <c r="L27" s="81">
        <v>7</v>
      </c>
      <c r="M27" s="82">
        <v>3</v>
      </c>
      <c r="N27" s="83"/>
      <c r="O27" s="84">
        <v>4</v>
      </c>
      <c r="P27" s="111"/>
      <c r="Q27" s="86">
        <v>10</v>
      </c>
      <c r="R27" s="86">
        <v>9</v>
      </c>
      <c r="S27" s="87">
        <v>1</v>
      </c>
      <c r="T27" s="565">
        <f t="shared" si="2"/>
        <v>9</v>
      </c>
      <c r="U27" s="565">
        <f t="shared" si="3"/>
        <v>6</v>
      </c>
      <c r="V27" s="565">
        <v>32</v>
      </c>
    </row>
    <row r="28" spans="1:22" ht="15" customHeight="1">
      <c r="A28" s="586"/>
      <c r="B28" s="88">
        <v>6</v>
      </c>
      <c r="C28" s="460" t="s">
        <v>307</v>
      </c>
      <c r="D28" s="570" t="s">
        <v>163</v>
      </c>
      <c r="E28" s="155" t="s">
        <v>227</v>
      </c>
      <c r="F28" s="155" t="s">
        <v>637</v>
      </c>
      <c r="G28" s="155" t="s">
        <v>140</v>
      </c>
      <c r="H28" s="155" t="s">
        <v>142</v>
      </c>
      <c r="I28" s="90"/>
      <c r="J28" s="155" t="s">
        <v>140</v>
      </c>
      <c r="K28" s="155" t="s">
        <v>142</v>
      </c>
      <c r="L28" s="92">
        <v>7</v>
      </c>
      <c r="M28" s="93">
        <v>2</v>
      </c>
      <c r="N28" s="94">
        <v>2</v>
      </c>
      <c r="O28" s="95">
        <v>3</v>
      </c>
      <c r="P28" s="96"/>
      <c r="Q28" s="97">
        <v>11</v>
      </c>
      <c r="R28" s="97">
        <v>11</v>
      </c>
      <c r="S28" s="98"/>
      <c r="T28" s="567">
        <f t="shared" si="2"/>
        <v>8</v>
      </c>
      <c r="U28" s="567">
        <f t="shared" si="3"/>
        <v>6</v>
      </c>
      <c r="V28" s="567">
        <v>32</v>
      </c>
    </row>
    <row r="29" spans="1:22" ht="15" customHeight="1">
      <c r="A29" s="586"/>
      <c r="B29" s="88">
        <v>7</v>
      </c>
      <c r="C29" s="194" t="s">
        <v>923</v>
      </c>
      <c r="D29" s="570" t="s">
        <v>144</v>
      </c>
      <c r="E29" s="155" t="s">
        <v>155</v>
      </c>
      <c r="F29" s="155" t="s">
        <v>227</v>
      </c>
      <c r="G29" s="155" t="s">
        <v>227</v>
      </c>
      <c r="H29" s="155" t="s">
        <v>637</v>
      </c>
      <c r="I29" s="155" t="s">
        <v>140</v>
      </c>
      <c r="J29" s="90"/>
      <c r="K29" s="155" t="s">
        <v>171</v>
      </c>
      <c r="L29" s="92">
        <v>7</v>
      </c>
      <c r="M29" s="93">
        <v>1</v>
      </c>
      <c r="N29" s="94">
        <v>1</v>
      </c>
      <c r="O29" s="95">
        <v>5</v>
      </c>
      <c r="P29" s="96"/>
      <c r="Q29" s="97">
        <v>8</v>
      </c>
      <c r="R29" s="97">
        <v>18</v>
      </c>
      <c r="S29" s="98">
        <v>-10</v>
      </c>
      <c r="T29" s="567">
        <f t="shared" si="2"/>
        <v>4</v>
      </c>
      <c r="U29" s="567">
        <f t="shared" si="3"/>
        <v>3</v>
      </c>
      <c r="V29" s="567">
        <v>32</v>
      </c>
    </row>
    <row r="30" spans="1:22" ht="15.75" customHeight="1">
      <c r="A30" s="586"/>
      <c r="B30" s="88">
        <v>8</v>
      </c>
      <c r="C30" s="194" t="s">
        <v>123</v>
      </c>
      <c r="D30" s="570" t="s">
        <v>153</v>
      </c>
      <c r="E30" s="155" t="s">
        <v>637</v>
      </c>
      <c r="F30" s="155" t="s">
        <v>162</v>
      </c>
      <c r="G30" s="155" t="s">
        <v>637</v>
      </c>
      <c r="H30" s="155" t="s">
        <v>637</v>
      </c>
      <c r="I30" s="155" t="s">
        <v>141</v>
      </c>
      <c r="J30" s="155" t="s">
        <v>172</v>
      </c>
      <c r="K30" s="90"/>
      <c r="L30" s="92">
        <v>7</v>
      </c>
      <c r="M30" s="93">
        <v>1</v>
      </c>
      <c r="N30" s="94"/>
      <c r="O30" s="95">
        <v>6</v>
      </c>
      <c r="P30" s="96"/>
      <c r="Q30" s="97">
        <v>7</v>
      </c>
      <c r="R30" s="97">
        <v>15</v>
      </c>
      <c r="S30" s="98">
        <v>-8</v>
      </c>
      <c r="T30" s="567">
        <f t="shared" si="2"/>
        <v>3</v>
      </c>
      <c r="U30" s="567">
        <f t="shared" si="3"/>
        <v>2</v>
      </c>
      <c r="V30" s="567">
        <v>32</v>
      </c>
    </row>
    <row r="31" spans="1:22" ht="15" customHeight="1" thickBot="1">
      <c r="A31" s="114"/>
      <c r="B31" s="114"/>
      <c r="C31" s="196"/>
      <c r="D31" s="114"/>
      <c r="E31" s="114"/>
      <c r="F31" s="114"/>
      <c r="G31" s="114"/>
      <c r="H31" s="114"/>
      <c r="I31" s="114"/>
      <c r="J31" s="114"/>
      <c r="K31" s="114"/>
      <c r="L31" s="114"/>
      <c r="M31" s="115"/>
      <c r="N31" s="115"/>
      <c r="O31" s="115"/>
      <c r="P31" s="115"/>
      <c r="Q31" s="115"/>
      <c r="R31" s="115"/>
      <c r="S31" s="115"/>
      <c r="T31" s="43"/>
      <c r="U31" s="43"/>
      <c r="V31" s="43"/>
    </row>
    <row r="32" spans="1:22" ht="15" customHeight="1" thickBot="1">
      <c r="A32" s="114"/>
      <c r="B32" s="71" t="s">
        <v>0</v>
      </c>
      <c r="C32" s="192"/>
      <c r="D32" s="71">
        <v>1</v>
      </c>
      <c r="E32" s="73">
        <v>2</v>
      </c>
      <c r="F32" s="73">
        <v>3</v>
      </c>
      <c r="G32" s="73">
        <v>4</v>
      </c>
      <c r="H32" s="73">
        <v>5</v>
      </c>
      <c r="I32" s="73">
        <v>6</v>
      </c>
      <c r="J32" s="74">
        <v>7</v>
      </c>
      <c r="K32" s="73">
        <v>8</v>
      </c>
      <c r="L32" s="75" t="s">
        <v>2</v>
      </c>
      <c r="M32" s="71" t="s">
        <v>3</v>
      </c>
      <c r="N32" s="73" t="s">
        <v>4</v>
      </c>
      <c r="O32" s="72" t="s">
        <v>5</v>
      </c>
      <c r="P32" s="76" t="s">
        <v>6</v>
      </c>
      <c r="Q32" s="77" t="s">
        <v>7</v>
      </c>
      <c r="R32" s="77" t="s">
        <v>222</v>
      </c>
      <c r="S32" s="72" t="s">
        <v>8</v>
      </c>
      <c r="T32" s="39" t="s">
        <v>9</v>
      </c>
      <c r="U32" s="39" t="s">
        <v>670</v>
      </c>
      <c r="V32" s="39"/>
    </row>
    <row r="33" spans="1:22" ht="15" customHeight="1">
      <c r="A33" s="586" t="s">
        <v>31</v>
      </c>
      <c r="B33" s="78">
        <v>1</v>
      </c>
      <c r="C33" s="193" t="s">
        <v>322</v>
      </c>
      <c r="D33" s="197"/>
      <c r="E33" s="164" t="s">
        <v>144</v>
      </c>
      <c r="F33" s="164" t="s">
        <v>171</v>
      </c>
      <c r="G33" s="164" t="s">
        <v>638</v>
      </c>
      <c r="H33" s="164" t="s">
        <v>143</v>
      </c>
      <c r="I33" s="164" t="s">
        <v>164</v>
      </c>
      <c r="J33" s="164" t="s">
        <v>162</v>
      </c>
      <c r="K33" s="164" t="s">
        <v>158</v>
      </c>
      <c r="L33" s="81">
        <v>7</v>
      </c>
      <c r="M33" s="82">
        <v>5</v>
      </c>
      <c r="N33" s="83">
        <v>1</v>
      </c>
      <c r="O33" s="84">
        <v>1</v>
      </c>
      <c r="P33" s="85"/>
      <c r="Q33" s="86">
        <v>15</v>
      </c>
      <c r="R33" s="86">
        <v>8</v>
      </c>
      <c r="S33" s="87">
        <v>7</v>
      </c>
      <c r="T33" s="565">
        <f aca="true" t="shared" si="4" ref="T33:T40">M33*3+N33</f>
        <v>16</v>
      </c>
      <c r="U33" s="565">
        <f aca="true" t="shared" si="5" ref="U33:U40">M33*2+N33</f>
        <v>11</v>
      </c>
      <c r="V33" s="565">
        <v>16</v>
      </c>
    </row>
    <row r="34" spans="1:22" ht="15.75" customHeight="1">
      <c r="A34" s="586"/>
      <c r="B34" s="88">
        <v>2</v>
      </c>
      <c r="C34" s="194" t="s">
        <v>325</v>
      </c>
      <c r="D34" s="570" t="s">
        <v>143</v>
      </c>
      <c r="E34" s="90"/>
      <c r="F34" s="155" t="s">
        <v>145</v>
      </c>
      <c r="G34" s="155" t="s">
        <v>925</v>
      </c>
      <c r="H34" s="155" t="s">
        <v>638</v>
      </c>
      <c r="I34" s="155" t="s">
        <v>228</v>
      </c>
      <c r="J34" s="155" t="s">
        <v>141</v>
      </c>
      <c r="K34" s="155" t="s">
        <v>164</v>
      </c>
      <c r="L34" s="92">
        <v>7</v>
      </c>
      <c r="M34" s="93">
        <v>4</v>
      </c>
      <c r="N34" s="94">
        <v>2</v>
      </c>
      <c r="O34" s="95">
        <v>1</v>
      </c>
      <c r="P34" s="96"/>
      <c r="Q34" s="97">
        <v>11</v>
      </c>
      <c r="R34" s="97">
        <v>6</v>
      </c>
      <c r="S34" s="98">
        <v>5</v>
      </c>
      <c r="T34" s="567">
        <f t="shared" si="4"/>
        <v>14</v>
      </c>
      <c r="U34" s="565">
        <f t="shared" si="5"/>
        <v>10</v>
      </c>
      <c r="V34" s="565">
        <v>16</v>
      </c>
    </row>
    <row r="35" spans="1:22" ht="15.75" customHeight="1">
      <c r="A35" s="586"/>
      <c r="B35" s="88">
        <v>3</v>
      </c>
      <c r="C35" s="194" t="s">
        <v>303</v>
      </c>
      <c r="D35" s="570" t="s">
        <v>172</v>
      </c>
      <c r="E35" s="155" t="s">
        <v>146</v>
      </c>
      <c r="F35" s="90"/>
      <c r="G35" s="155" t="s">
        <v>227</v>
      </c>
      <c r="H35" s="155" t="s">
        <v>152</v>
      </c>
      <c r="I35" s="155" t="s">
        <v>145</v>
      </c>
      <c r="J35" s="155" t="s">
        <v>162</v>
      </c>
      <c r="K35" s="155" t="s">
        <v>152</v>
      </c>
      <c r="L35" s="92">
        <v>7</v>
      </c>
      <c r="M35" s="93">
        <v>4</v>
      </c>
      <c r="N35" s="94"/>
      <c r="O35" s="95">
        <v>3</v>
      </c>
      <c r="P35" s="96"/>
      <c r="Q35" s="97">
        <v>18</v>
      </c>
      <c r="R35" s="97">
        <v>14</v>
      </c>
      <c r="S35" s="98">
        <v>4</v>
      </c>
      <c r="T35" s="567">
        <f t="shared" si="4"/>
        <v>12</v>
      </c>
      <c r="U35" s="565">
        <f t="shared" si="5"/>
        <v>8</v>
      </c>
      <c r="V35" s="565">
        <v>16</v>
      </c>
    </row>
    <row r="36" spans="1:22" ht="15" customHeight="1" thickBot="1">
      <c r="A36" s="586"/>
      <c r="B36" s="99">
        <v>4</v>
      </c>
      <c r="C36" s="195" t="s">
        <v>20</v>
      </c>
      <c r="D36" s="571" t="s">
        <v>637</v>
      </c>
      <c r="E36" s="572" t="s">
        <v>925</v>
      </c>
      <c r="F36" s="572" t="s">
        <v>228</v>
      </c>
      <c r="G36" s="101"/>
      <c r="H36" s="572" t="s">
        <v>163</v>
      </c>
      <c r="I36" s="572" t="s">
        <v>141</v>
      </c>
      <c r="J36" s="572" t="s">
        <v>162</v>
      </c>
      <c r="K36" s="572" t="s">
        <v>926</v>
      </c>
      <c r="L36" s="102">
        <v>7</v>
      </c>
      <c r="M36" s="103">
        <v>3</v>
      </c>
      <c r="N36" s="104">
        <v>1</v>
      </c>
      <c r="O36" s="105">
        <v>3</v>
      </c>
      <c r="P36" s="106"/>
      <c r="Q36" s="107">
        <v>9</v>
      </c>
      <c r="R36" s="107">
        <v>7</v>
      </c>
      <c r="S36" s="108">
        <v>2</v>
      </c>
      <c r="T36" s="566">
        <f t="shared" si="4"/>
        <v>10</v>
      </c>
      <c r="U36" s="566">
        <f t="shared" si="5"/>
        <v>7</v>
      </c>
      <c r="V36" s="566">
        <v>16</v>
      </c>
    </row>
    <row r="37" spans="1:22" ht="15" customHeight="1" thickTop="1">
      <c r="A37" s="586"/>
      <c r="B37" s="78">
        <v>5</v>
      </c>
      <c r="C37" s="193" t="s">
        <v>314</v>
      </c>
      <c r="D37" s="573" t="s">
        <v>144</v>
      </c>
      <c r="E37" s="569" t="s">
        <v>637</v>
      </c>
      <c r="F37" s="569" t="s">
        <v>153</v>
      </c>
      <c r="G37" s="569" t="s">
        <v>162</v>
      </c>
      <c r="H37" s="110"/>
      <c r="I37" s="569" t="s">
        <v>160</v>
      </c>
      <c r="J37" s="569" t="s">
        <v>162</v>
      </c>
      <c r="K37" s="569" t="s">
        <v>164</v>
      </c>
      <c r="L37" s="81">
        <v>7</v>
      </c>
      <c r="M37" s="82">
        <v>3</v>
      </c>
      <c r="N37" s="83">
        <v>1</v>
      </c>
      <c r="O37" s="84">
        <v>3</v>
      </c>
      <c r="P37" s="111"/>
      <c r="Q37" s="86">
        <v>9</v>
      </c>
      <c r="R37" s="86">
        <v>11</v>
      </c>
      <c r="S37" s="87">
        <v>-2</v>
      </c>
      <c r="T37" s="565">
        <f t="shared" si="4"/>
        <v>10</v>
      </c>
      <c r="U37" s="565">
        <f t="shared" si="5"/>
        <v>7</v>
      </c>
      <c r="V37" s="565">
        <v>32</v>
      </c>
    </row>
    <row r="38" spans="1:22" ht="15" customHeight="1">
      <c r="A38" s="586"/>
      <c r="B38" s="88">
        <v>6</v>
      </c>
      <c r="C38" s="194" t="s">
        <v>310</v>
      </c>
      <c r="D38" s="570" t="s">
        <v>164</v>
      </c>
      <c r="E38" s="155" t="s">
        <v>227</v>
      </c>
      <c r="F38" s="155" t="s">
        <v>146</v>
      </c>
      <c r="G38" s="155" t="s">
        <v>142</v>
      </c>
      <c r="H38" s="155" t="s">
        <v>161</v>
      </c>
      <c r="I38" s="90"/>
      <c r="J38" s="155" t="s">
        <v>162</v>
      </c>
      <c r="K38" s="155" t="s">
        <v>149</v>
      </c>
      <c r="L38" s="92">
        <v>7</v>
      </c>
      <c r="M38" s="93">
        <v>3</v>
      </c>
      <c r="N38" s="94"/>
      <c r="O38" s="95">
        <v>3</v>
      </c>
      <c r="P38" s="96">
        <v>1</v>
      </c>
      <c r="Q38" s="97">
        <v>12</v>
      </c>
      <c r="R38" s="97">
        <v>13</v>
      </c>
      <c r="S38" s="98">
        <v>-1</v>
      </c>
      <c r="T38" s="567">
        <f>M38*3+N38-P38</f>
        <v>8</v>
      </c>
      <c r="U38" s="567">
        <f>M38*2+N38-P38</f>
        <v>5</v>
      </c>
      <c r="V38" s="567">
        <v>32</v>
      </c>
    </row>
    <row r="39" spans="1:22" ht="15.75" customHeight="1">
      <c r="A39" s="586"/>
      <c r="B39" s="88">
        <v>7</v>
      </c>
      <c r="C39" s="194" t="s">
        <v>126</v>
      </c>
      <c r="D39" s="570" t="s">
        <v>163</v>
      </c>
      <c r="E39" s="155" t="s">
        <v>142</v>
      </c>
      <c r="F39" s="155" t="s">
        <v>163</v>
      </c>
      <c r="G39" s="155" t="s">
        <v>163</v>
      </c>
      <c r="H39" s="155" t="s">
        <v>163</v>
      </c>
      <c r="I39" s="155" t="s">
        <v>163</v>
      </c>
      <c r="J39" s="90"/>
      <c r="K39" s="155" t="s">
        <v>925</v>
      </c>
      <c r="L39" s="92">
        <v>7</v>
      </c>
      <c r="M39" s="93">
        <v>1</v>
      </c>
      <c r="N39" s="94">
        <v>1</v>
      </c>
      <c r="O39" s="95">
        <v>5</v>
      </c>
      <c r="P39" s="96"/>
      <c r="Q39" s="97">
        <v>8</v>
      </c>
      <c r="R39" s="97">
        <v>11</v>
      </c>
      <c r="S39" s="98">
        <v>-3</v>
      </c>
      <c r="T39" s="567">
        <f t="shared" si="4"/>
        <v>4</v>
      </c>
      <c r="U39" s="567">
        <f t="shared" si="5"/>
        <v>3</v>
      </c>
      <c r="V39" s="567">
        <v>32</v>
      </c>
    </row>
    <row r="40" spans="1:22" ht="15" customHeight="1">
      <c r="A40" s="586"/>
      <c r="B40" s="88">
        <v>8</v>
      </c>
      <c r="C40" s="194" t="s">
        <v>302</v>
      </c>
      <c r="D40" s="570" t="s">
        <v>159</v>
      </c>
      <c r="E40" s="155" t="s">
        <v>164</v>
      </c>
      <c r="F40" s="155" t="s">
        <v>153</v>
      </c>
      <c r="G40" s="155" t="s">
        <v>144</v>
      </c>
      <c r="H40" s="155" t="s">
        <v>164</v>
      </c>
      <c r="I40" s="155" t="s">
        <v>150</v>
      </c>
      <c r="J40" s="155" t="s">
        <v>925</v>
      </c>
      <c r="K40" s="90"/>
      <c r="L40" s="92">
        <v>7</v>
      </c>
      <c r="M40" s="93"/>
      <c r="N40" s="94">
        <v>3</v>
      </c>
      <c r="O40" s="95">
        <v>4</v>
      </c>
      <c r="P40" s="96"/>
      <c r="Q40" s="97">
        <v>3</v>
      </c>
      <c r="R40" s="97">
        <v>18</v>
      </c>
      <c r="S40" s="98">
        <v>-15</v>
      </c>
      <c r="T40" s="567">
        <f t="shared" si="4"/>
        <v>3</v>
      </c>
      <c r="U40" s="567">
        <f t="shared" si="5"/>
        <v>3</v>
      </c>
      <c r="V40" s="567">
        <v>32</v>
      </c>
    </row>
    <row r="41" spans="1:22" ht="15" customHeight="1" thickBot="1">
      <c r="A41" s="114"/>
      <c r="B41" s="114"/>
      <c r="C41" s="196"/>
      <c r="D41" s="114"/>
      <c r="E41" s="114"/>
      <c r="F41" s="114"/>
      <c r="G41" s="114"/>
      <c r="H41" s="114"/>
      <c r="I41" s="114"/>
      <c r="J41" s="114"/>
      <c r="K41" s="114"/>
      <c r="L41" s="114"/>
      <c r="M41" s="115"/>
      <c r="N41" s="115"/>
      <c r="O41" s="115"/>
      <c r="P41" s="115"/>
      <c r="Q41" s="115"/>
      <c r="R41" s="115"/>
      <c r="S41" s="115"/>
      <c r="T41" s="43"/>
      <c r="U41" s="43"/>
      <c r="V41" s="43"/>
    </row>
    <row r="42" spans="1:22" ht="15" customHeight="1" thickBot="1">
      <c r="A42" s="114"/>
      <c r="B42" s="71" t="s">
        <v>0</v>
      </c>
      <c r="C42" s="192"/>
      <c r="D42" s="71">
        <v>1</v>
      </c>
      <c r="E42" s="73">
        <v>2</v>
      </c>
      <c r="F42" s="73">
        <v>3</v>
      </c>
      <c r="G42" s="74">
        <v>4</v>
      </c>
      <c r="H42" s="73">
        <v>5</v>
      </c>
      <c r="I42" s="73">
        <v>6</v>
      </c>
      <c r="J42" s="73">
        <v>7</v>
      </c>
      <c r="K42" s="73">
        <v>8</v>
      </c>
      <c r="L42" s="75" t="s">
        <v>2</v>
      </c>
      <c r="M42" s="71" t="s">
        <v>3</v>
      </c>
      <c r="N42" s="73" t="s">
        <v>4</v>
      </c>
      <c r="O42" s="72" t="s">
        <v>5</v>
      </c>
      <c r="P42" s="76" t="s">
        <v>6</v>
      </c>
      <c r="Q42" s="77" t="s">
        <v>7</v>
      </c>
      <c r="R42" s="77" t="s">
        <v>222</v>
      </c>
      <c r="S42" s="72" t="s">
        <v>8</v>
      </c>
      <c r="T42" s="39" t="s">
        <v>9</v>
      </c>
      <c r="U42" s="39" t="s">
        <v>670</v>
      </c>
      <c r="V42" s="39"/>
    </row>
    <row r="43" spans="1:22" ht="15.75" customHeight="1">
      <c r="A43" s="586" t="s">
        <v>42</v>
      </c>
      <c r="B43" s="78">
        <v>1</v>
      </c>
      <c r="C43" s="193" t="s">
        <v>306</v>
      </c>
      <c r="D43" s="197"/>
      <c r="E43" s="164" t="s">
        <v>163</v>
      </c>
      <c r="F43" s="164" t="s">
        <v>228</v>
      </c>
      <c r="G43" s="164" t="s">
        <v>157</v>
      </c>
      <c r="H43" s="164" t="s">
        <v>228</v>
      </c>
      <c r="I43" s="164" t="s">
        <v>141</v>
      </c>
      <c r="J43" s="164" t="s">
        <v>164</v>
      </c>
      <c r="K43" s="164" t="s">
        <v>145</v>
      </c>
      <c r="L43" s="81">
        <v>7</v>
      </c>
      <c r="M43" s="82">
        <v>4</v>
      </c>
      <c r="N43" s="83">
        <v>1</v>
      </c>
      <c r="O43" s="84">
        <v>2</v>
      </c>
      <c r="P43" s="85"/>
      <c r="Q43" s="86">
        <v>15</v>
      </c>
      <c r="R43" s="86">
        <v>9</v>
      </c>
      <c r="S43" s="87">
        <v>6</v>
      </c>
      <c r="T43" s="565">
        <f aca="true" t="shared" si="6" ref="T43:T50">M43*3+N43</f>
        <v>13</v>
      </c>
      <c r="U43" s="565">
        <f aca="true" t="shared" si="7" ref="U43:U50">M43*2+N43</f>
        <v>9</v>
      </c>
      <c r="V43" s="565">
        <v>16</v>
      </c>
    </row>
    <row r="44" spans="1:22" ht="15.75" customHeight="1">
      <c r="A44" s="586"/>
      <c r="B44" s="88">
        <v>2</v>
      </c>
      <c r="C44" s="194" t="s">
        <v>311</v>
      </c>
      <c r="D44" s="570" t="s">
        <v>162</v>
      </c>
      <c r="E44" s="90"/>
      <c r="F44" s="155" t="s">
        <v>637</v>
      </c>
      <c r="G44" s="155" t="s">
        <v>228</v>
      </c>
      <c r="H44" s="155" t="s">
        <v>925</v>
      </c>
      <c r="I44" s="155" t="s">
        <v>140</v>
      </c>
      <c r="J44" s="155" t="s">
        <v>162</v>
      </c>
      <c r="K44" s="155" t="s">
        <v>164</v>
      </c>
      <c r="L44" s="92">
        <v>7</v>
      </c>
      <c r="M44" s="93">
        <v>3</v>
      </c>
      <c r="N44" s="94">
        <v>3</v>
      </c>
      <c r="O44" s="95">
        <v>1</v>
      </c>
      <c r="P44" s="96"/>
      <c r="Q44" s="97">
        <v>9</v>
      </c>
      <c r="R44" s="97">
        <v>6</v>
      </c>
      <c r="S44" s="98">
        <v>3</v>
      </c>
      <c r="T44" s="567">
        <f t="shared" si="6"/>
        <v>12</v>
      </c>
      <c r="U44" s="565">
        <f t="shared" si="7"/>
        <v>9</v>
      </c>
      <c r="V44" s="565">
        <v>16</v>
      </c>
    </row>
    <row r="45" spans="1:22" ht="15" customHeight="1">
      <c r="A45" s="586"/>
      <c r="B45" s="88">
        <v>3</v>
      </c>
      <c r="C45" s="194" t="s">
        <v>120</v>
      </c>
      <c r="D45" s="570" t="s">
        <v>227</v>
      </c>
      <c r="E45" s="155" t="s">
        <v>638</v>
      </c>
      <c r="F45" s="90"/>
      <c r="G45" s="155" t="s">
        <v>141</v>
      </c>
      <c r="H45" s="155" t="s">
        <v>140</v>
      </c>
      <c r="I45" s="155" t="s">
        <v>158</v>
      </c>
      <c r="J45" s="155" t="s">
        <v>638</v>
      </c>
      <c r="K45" s="155" t="s">
        <v>151</v>
      </c>
      <c r="L45" s="92">
        <v>7</v>
      </c>
      <c r="M45" s="93">
        <v>3</v>
      </c>
      <c r="N45" s="94">
        <v>2</v>
      </c>
      <c r="O45" s="95">
        <v>2</v>
      </c>
      <c r="P45" s="96"/>
      <c r="Q45" s="97">
        <v>12</v>
      </c>
      <c r="R45" s="97">
        <v>10</v>
      </c>
      <c r="S45" s="98">
        <v>2</v>
      </c>
      <c r="T45" s="567">
        <f t="shared" si="6"/>
        <v>11</v>
      </c>
      <c r="U45" s="565">
        <f t="shared" si="7"/>
        <v>8</v>
      </c>
      <c r="V45" s="565">
        <v>16</v>
      </c>
    </row>
    <row r="46" spans="1:22" ht="15" customHeight="1" thickBot="1">
      <c r="A46" s="586"/>
      <c r="B46" s="99">
        <v>4</v>
      </c>
      <c r="C46" s="195" t="s">
        <v>34</v>
      </c>
      <c r="D46" s="571" t="s">
        <v>156</v>
      </c>
      <c r="E46" s="572" t="s">
        <v>227</v>
      </c>
      <c r="F46" s="572" t="s">
        <v>142</v>
      </c>
      <c r="G46" s="101"/>
      <c r="H46" s="572" t="s">
        <v>143</v>
      </c>
      <c r="I46" s="572" t="s">
        <v>163</v>
      </c>
      <c r="J46" s="572" t="s">
        <v>163</v>
      </c>
      <c r="K46" s="572" t="s">
        <v>638</v>
      </c>
      <c r="L46" s="102">
        <v>7</v>
      </c>
      <c r="M46" s="103">
        <v>3</v>
      </c>
      <c r="N46" s="104"/>
      <c r="O46" s="105">
        <v>4</v>
      </c>
      <c r="P46" s="106"/>
      <c r="Q46" s="107">
        <v>10</v>
      </c>
      <c r="R46" s="107">
        <v>12</v>
      </c>
      <c r="S46" s="108">
        <v>-2</v>
      </c>
      <c r="T46" s="566">
        <f t="shared" si="6"/>
        <v>9</v>
      </c>
      <c r="U46" s="566">
        <f t="shared" si="7"/>
        <v>6</v>
      </c>
      <c r="V46" s="566">
        <v>16</v>
      </c>
    </row>
    <row r="47" spans="1:22" ht="15" customHeight="1" thickTop="1">
      <c r="A47" s="586"/>
      <c r="B47" s="78">
        <v>5</v>
      </c>
      <c r="C47" s="193" t="s">
        <v>924</v>
      </c>
      <c r="D47" s="573" t="s">
        <v>227</v>
      </c>
      <c r="E47" s="569" t="s">
        <v>925</v>
      </c>
      <c r="F47" s="569" t="s">
        <v>140</v>
      </c>
      <c r="G47" s="569" t="s">
        <v>144</v>
      </c>
      <c r="H47" s="110"/>
      <c r="I47" s="569" t="s">
        <v>140</v>
      </c>
      <c r="J47" s="569" t="s">
        <v>162</v>
      </c>
      <c r="K47" s="569" t="s">
        <v>228</v>
      </c>
      <c r="L47" s="81">
        <v>7</v>
      </c>
      <c r="M47" s="82">
        <v>2</v>
      </c>
      <c r="N47" s="83">
        <v>3</v>
      </c>
      <c r="O47" s="84">
        <v>2</v>
      </c>
      <c r="P47" s="111"/>
      <c r="Q47" s="86">
        <v>8</v>
      </c>
      <c r="R47" s="86">
        <v>10</v>
      </c>
      <c r="S47" s="87">
        <v>-2</v>
      </c>
      <c r="T47" s="565">
        <f t="shared" si="6"/>
        <v>9</v>
      </c>
      <c r="U47" s="565">
        <f t="shared" si="7"/>
        <v>7</v>
      </c>
      <c r="V47" s="565">
        <v>32</v>
      </c>
    </row>
    <row r="48" spans="1:22" ht="15.75" customHeight="1">
      <c r="A48" s="586"/>
      <c r="B48" s="88">
        <v>6</v>
      </c>
      <c r="C48" s="194" t="s">
        <v>28</v>
      </c>
      <c r="D48" s="570" t="s">
        <v>142</v>
      </c>
      <c r="E48" s="155" t="s">
        <v>140</v>
      </c>
      <c r="F48" s="155" t="s">
        <v>159</v>
      </c>
      <c r="G48" s="155" t="s">
        <v>162</v>
      </c>
      <c r="H48" s="155" t="s">
        <v>140</v>
      </c>
      <c r="I48" s="90"/>
      <c r="J48" s="155" t="s">
        <v>141</v>
      </c>
      <c r="K48" s="155" t="s">
        <v>163</v>
      </c>
      <c r="L48" s="92">
        <v>7</v>
      </c>
      <c r="M48" s="93">
        <v>2</v>
      </c>
      <c r="N48" s="94">
        <v>2</v>
      </c>
      <c r="O48" s="95">
        <v>3</v>
      </c>
      <c r="P48" s="96"/>
      <c r="Q48" s="97">
        <v>11</v>
      </c>
      <c r="R48" s="97">
        <v>15</v>
      </c>
      <c r="S48" s="98">
        <v>-4</v>
      </c>
      <c r="T48" s="567">
        <f t="shared" si="6"/>
        <v>8</v>
      </c>
      <c r="U48" s="567">
        <f t="shared" si="7"/>
        <v>6</v>
      </c>
      <c r="V48" s="567">
        <v>32</v>
      </c>
    </row>
    <row r="49" spans="1:22" ht="15">
      <c r="A49" s="586"/>
      <c r="B49" s="88">
        <v>7</v>
      </c>
      <c r="C49" s="194" t="s">
        <v>124</v>
      </c>
      <c r="D49" s="570" t="s">
        <v>164</v>
      </c>
      <c r="E49" s="155" t="s">
        <v>163</v>
      </c>
      <c r="F49" s="155" t="s">
        <v>637</v>
      </c>
      <c r="G49" s="155" t="s">
        <v>162</v>
      </c>
      <c r="H49" s="155" t="s">
        <v>163</v>
      </c>
      <c r="I49" s="155" t="s">
        <v>142</v>
      </c>
      <c r="J49" s="90"/>
      <c r="K49" s="155" t="s">
        <v>925</v>
      </c>
      <c r="L49" s="92">
        <v>7</v>
      </c>
      <c r="M49" s="93">
        <v>2</v>
      </c>
      <c r="N49" s="94">
        <v>2</v>
      </c>
      <c r="O49" s="95">
        <v>3</v>
      </c>
      <c r="P49" s="96"/>
      <c r="Q49" s="97">
        <v>8</v>
      </c>
      <c r="R49" s="97">
        <v>8</v>
      </c>
      <c r="S49" s="98"/>
      <c r="T49" s="567">
        <f t="shared" si="6"/>
        <v>8</v>
      </c>
      <c r="U49" s="567">
        <f t="shared" si="7"/>
        <v>6</v>
      </c>
      <c r="V49" s="567">
        <v>32</v>
      </c>
    </row>
    <row r="50" spans="1:22" ht="15">
      <c r="A50" s="586"/>
      <c r="B50" s="88">
        <v>8</v>
      </c>
      <c r="C50" s="194" t="s">
        <v>309</v>
      </c>
      <c r="D50" s="570" t="s">
        <v>146</v>
      </c>
      <c r="E50" s="155" t="s">
        <v>164</v>
      </c>
      <c r="F50" s="155" t="s">
        <v>151</v>
      </c>
      <c r="G50" s="155" t="s">
        <v>637</v>
      </c>
      <c r="H50" s="155" t="s">
        <v>227</v>
      </c>
      <c r="I50" s="155" t="s">
        <v>162</v>
      </c>
      <c r="J50" s="155" t="s">
        <v>925</v>
      </c>
      <c r="K50" s="90"/>
      <c r="L50" s="92">
        <v>7</v>
      </c>
      <c r="M50" s="93">
        <v>1</v>
      </c>
      <c r="N50" s="94">
        <v>3</v>
      </c>
      <c r="O50" s="95">
        <v>3</v>
      </c>
      <c r="P50" s="96"/>
      <c r="Q50" s="97">
        <v>8</v>
      </c>
      <c r="R50" s="97">
        <v>11</v>
      </c>
      <c r="S50" s="98">
        <v>-3</v>
      </c>
      <c r="T50" s="567">
        <f t="shared" si="6"/>
        <v>6</v>
      </c>
      <c r="U50" s="567">
        <f t="shared" si="7"/>
        <v>5</v>
      </c>
      <c r="V50" s="567">
        <v>32</v>
      </c>
    </row>
    <row r="52" s="199" customFormat="1" ht="15.75" customHeight="1" hidden="1" thickBot="1">
      <c r="O52" s="199" t="s">
        <v>223</v>
      </c>
    </row>
    <row r="53" spans="2:27" s="199" customFormat="1" ht="15.75" customHeight="1" hidden="1" thickBot="1">
      <c r="B53" s="200" t="s">
        <v>181</v>
      </c>
      <c r="C53" s="201" t="s">
        <v>182</v>
      </c>
      <c r="D53" s="202" t="s">
        <v>0</v>
      </c>
      <c r="E53" s="201" t="s">
        <v>183</v>
      </c>
      <c r="F53" s="596" t="s">
        <v>184</v>
      </c>
      <c r="G53" s="597"/>
      <c r="H53" s="598"/>
      <c r="I53" s="596" t="s">
        <v>185</v>
      </c>
      <c r="J53" s="597"/>
      <c r="K53" s="598"/>
      <c r="L53" s="203" t="s">
        <v>186</v>
      </c>
      <c r="M53" s="204"/>
      <c r="N53" s="204"/>
      <c r="O53" s="205" t="s">
        <v>0</v>
      </c>
      <c r="P53" s="599" t="s">
        <v>1</v>
      </c>
      <c r="Q53" s="600"/>
      <c r="R53" s="601"/>
      <c r="S53" s="206" t="s">
        <v>2</v>
      </c>
      <c r="T53" s="200" t="s">
        <v>3</v>
      </c>
      <c r="U53" s="201" t="s">
        <v>4</v>
      </c>
      <c r="V53" s="201" t="s">
        <v>4</v>
      </c>
      <c r="W53" s="208" t="s">
        <v>6</v>
      </c>
      <c r="X53" s="208" t="s">
        <v>7</v>
      </c>
      <c r="Y53" s="209" t="s">
        <v>222</v>
      </c>
      <c r="Z53" s="207" t="s">
        <v>8</v>
      </c>
      <c r="AA53" s="210" t="s">
        <v>9</v>
      </c>
    </row>
    <row r="54" spans="2:27" s="199" customFormat="1" ht="15.75" customHeight="1" hidden="1" thickBot="1">
      <c r="B54" s="211">
        <v>10</v>
      </c>
      <c r="C54" s="212" t="s">
        <v>187</v>
      </c>
      <c r="D54" s="212">
        <v>1</v>
      </c>
      <c r="E54" s="225" t="s">
        <v>330</v>
      </c>
      <c r="F54" s="233" t="s">
        <v>36</v>
      </c>
      <c r="G54" s="234"/>
      <c r="H54" s="235"/>
      <c r="I54" s="233" t="s">
        <v>15</v>
      </c>
      <c r="J54" s="251"/>
      <c r="K54" s="252"/>
      <c r="L54" s="226" t="s">
        <v>98</v>
      </c>
      <c r="M54" s="204"/>
      <c r="N54" s="204"/>
      <c r="O54" s="213">
        <v>1</v>
      </c>
      <c r="P54" s="260" t="s">
        <v>116</v>
      </c>
      <c r="Q54" s="261"/>
      <c r="R54" s="262"/>
      <c r="S54" s="282">
        <f aca="true" t="shared" si="8" ref="S54:S61">SUM(T54:W54)</f>
        <v>0</v>
      </c>
      <c r="T54" s="282"/>
      <c r="U54" s="282"/>
      <c r="V54" s="282"/>
      <c r="W54" s="282"/>
      <c r="X54" s="282"/>
      <c r="Y54" s="282"/>
      <c r="Z54" s="214">
        <f aca="true" t="shared" si="9" ref="Z54:Z91">X54-Y54</f>
        <v>0</v>
      </c>
      <c r="AA54" s="215">
        <f aca="true" t="shared" si="10" ref="AA54:AA91">T54*3+U54</f>
        <v>0</v>
      </c>
    </row>
    <row r="55" spans="2:27" s="199" customFormat="1" ht="15" customHeight="1" hidden="1" thickBot="1">
      <c r="B55" s="216">
        <v>10</v>
      </c>
      <c r="C55" s="217" t="s">
        <v>187</v>
      </c>
      <c r="D55" s="217">
        <v>2</v>
      </c>
      <c r="E55" s="227" t="s">
        <v>331</v>
      </c>
      <c r="F55" s="236" t="s">
        <v>332</v>
      </c>
      <c r="G55" s="237"/>
      <c r="H55" s="238"/>
      <c r="I55" s="236" t="s">
        <v>333</v>
      </c>
      <c r="J55" s="253"/>
      <c r="K55" s="254"/>
      <c r="L55" s="228" t="s">
        <v>65</v>
      </c>
      <c r="M55" s="204"/>
      <c r="N55" s="204"/>
      <c r="O55" s="218">
        <v>2</v>
      </c>
      <c r="P55" s="260" t="s">
        <v>15</v>
      </c>
      <c r="Q55" s="261"/>
      <c r="R55" s="262"/>
      <c r="S55" s="128">
        <f t="shared" si="8"/>
        <v>0</v>
      </c>
      <c r="T55" s="128"/>
      <c r="U55" s="128"/>
      <c r="V55" s="128"/>
      <c r="W55" s="128"/>
      <c r="X55" s="128"/>
      <c r="Y55" s="128"/>
      <c r="Z55" s="214">
        <f t="shared" si="9"/>
        <v>0</v>
      </c>
      <c r="AA55" s="215">
        <f t="shared" si="10"/>
        <v>0</v>
      </c>
    </row>
    <row r="56" spans="2:27" s="199" customFormat="1" ht="15.75" customHeight="1" hidden="1" thickBot="1">
      <c r="B56" s="216">
        <v>10</v>
      </c>
      <c r="C56" s="217" t="s">
        <v>187</v>
      </c>
      <c r="D56" s="217">
        <v>3</v>
      </c>
      <c r="E56" s="227" t="s">
        <v>334</v>
      </c>
      <c r="F56" s="236" t="s">
        <v>11</v>
      </c>
      <c r="G56" s="237"/>
      <c r="H56" s="238"/>
      <c r="I56" s="236" t="s">
        <v>49</v>
      </c>
      <c r="J56" s="253"/>
      <c r="K56" s="254"/>
      <c r="L56" s="228" t="s">
        <v>68</v>
      </c>
      <c r="M56" s="204"/>
      <c r="N56" s="204"/>
      <c r="O56" s="218">
        <v>3</v>
      </c>
      <c r="P56" s="260" t="s">
        <v>235</v>
      </c>
      <c r="Q56" s="261"/>
      <c r="R56" s="262"/>
      <c r="S56" s="128">
        <f t="shared" si="8"/>
        <v>0</v>
      </c>
      <c r="T56" s="128"/>
      <c r="U56" s="128"/>
      <c r="V56" s="128"/>
      <c r="W56" s="128"/>
      <c r="X56" s="128"/>
      <c r="Y56" s="128"/>
      <c r="Z56" s="214">
        <f t="shared" si="9"/>
        <v>0</v>
      </c>
      <c r="AA56" s="215">
        <f t="shared" si="10"/>
        <v>0</v>
      </c>
    </row>
    <row r="57" spans="2:27" s="199" customFormat="1" ht="15.75" customHeight="1" hidden="1" thickBot="1">
      <c r="B57" s="216">
        <v>10</v>
      </c>
      <c r="C57" s="217" t="s">
        <v>187</v>
      </c>
      <c r="D57" s="217">
        <v>4</v>
      </c>
      <c r="E57" s="227" t="s">
        <v>335</v>
      </c>
      <c r="F57" s="236" t="s">
        <v>322</v>
      </c>
      <c r="G57" s="237"/>
      <c r="H57" s="238"/>
      <c r="I57" s="236" t="s">
        <v>28</v>
      </c>
      <c r="J57" s="253"/>
      <c r="K57" s="254"/>
      <c r="L57" s="228" t="s">
        <v>336</v>
      </c>
      <c r="M57" s="204"/>
      <c r="N57" s="204"/>
      <c r="O57" s="218">
        <v>4</v>
      </c>
      <c r="P57" s="260" t="s">
        <v>306</v>
      </c>
      <c r="Q57" s="261"/>
      <c r="R57" s="262"/>
      <c r="S57" s="219">
        <f t="shared" si="8"/>
        <v>0</v>
      </c>
      <c r="T57" s="219"/>
      <c r="U57" s="219"/>
      <c r="V57" s="219"/>
      <c r="W57" s="219"/>
      <c r="X57" s="219"/>
      <c r="Y57" s="219"/>
      <c r="Z57" s="214">
        <f t="shared" si="9"/>
        <v>0</v>
      </c>
      <c r="AA57" s="215">
        <f t="shared" si="10"/>
        <v>0</v>
      </c>
    </row>
    <row r="58" spans="2:27" s="199" customFormat="1" ht="15" customHeight="1" hidden="1" thickBot="1">
      <c r="B58" s="216">
        <v>10</v>
      </c>
      <c r="C58" s="217" t="s">
        <v>187</v>
      </c>
      <c r="D58" s="217">
        <v>5</v>
      </c>
      <c r="E58" s="227" t="s">
        <v>337</v>
      </c>
      <c r="F58" s="236" t="s">
        <v>50</v>
      </c>
      <c r="G58" s="237"/>
      <c r="H58" s="238"/>
      <c r="I58" s="236" t="s">
        <v>34</v>
      </c>
      <c r="J58" s="253"/>
      <c r="K58" s="254"/>
      <c r="L58" s="228" t="s">
        <v>178</v>
      </c>
      <c r="M58" s="204"/>
      <c r="N58" s="204"/>
      <c r="O58" s="218">
        <v>5</v>
      </c>
      <c r="P58" s="260" t="s">
        <v>311</v>
      </c>
      <c r="Q58" s="261"/>
      <c r="R58" s="262"/>
      <c r="S58" s="219">
        <f t="shared" si="8"/>
        <v>0</v>
      </c>
      <c r="T58" s="219"/>
      <c r="U58" s="219"/>
      <c r="V58" s="219"/>
      <c r="W58" s="219"/>
      <c r="X58" s="219"/>
      <c r="Y58" s="219"/>
      <c r="Z58" s="214">
        <f t="shared" si="9"/>
        <v>0</v>
      </c>
      <c r="AA58" s="215">
        <f t="shared" si="10"/>
        <v>0</v>
      </c>
    </row>
    <row r="59" spans="2:27" s="199" customFormat="1" ht="15" customHeight="1" hidden="1" thickBot="1">
      <c r="B59" s="216">
        <v>10</v>
      </c>
      <c r="C59" s="217" t="s">
        <v>187</v>
      </c>
      <c r="D59" s="217">
        <v>6</v>
      </c>
      <c r="E59" s="227" t="s">
        <v>338</v>
      </c>
      <c r="F59" s="236" t="s">
        <v>33</v>
      </c>
      <c r="G59" s="237"/>
      <c r="H59" s="238"/>
      <c r="I59" s="236" t="s">
        <v>339</v>
      </c>
      <c r="J59" s="253"/>
      <c r="K59" s="254"/>
      <c r="L59" s="228" t="s">
        <v>173</v>
      </c>
      <c r="M59" s="204"/>
      <c r="N59" s="204"/>
      <c r="O59" s="218">
        <v>6</v>
      </c>
      <c r="P59" s="260" t="s">
        <v>28</v>
      </c>
      <c r="Q59" s="261"/>
      <c r="R59" s="262"/>
      <c r="S59" s="128">
        <f t="shared" si="8"/>
        <v>0</v>
      </c>
      <c r="T59" s="128"/>
      <c r="U59" s="128"/>
      <c r="V59" s="128"/>
      <c r="W59" s="128"/>
      <c r="X59" s="128"/>
      <c r="Y59" s="128"/>
      <c r="Z59" s="214">
        <f t="shared" si="9"/>
        <v>0</v>
      </c>
      <c r="AA59" s="215">
        <f t="shared" si="10"/>
        <v>0</v>
      </c>
    </row>
    <row r="60" spans="2:27" ht="15" customHeight="1" hidden="1" thickBot="1">
      <c r="B60" s="93">
        <v>10</v>
      </c>
      <c r="C60" s="94" t="s">
        <v>187</v>
      </c>
      <c r="D60" s="94">
        <v>7</v>
      </c>
      <c r="E60" s="227" t="s">
        <v>340</v>
      </c>
      <c r="F60" s="239" t="s">
        <v>341</v>
      </c>
      <c r="G60" s="240"/>
      <c r="H60" s="241"/>
      <c r="I60" s="239" t="s">
        <v>38</v>
      </c>
      <c r="J60" s="255"/>
      <c r="K60" s="256"/>
      <c r="L60" s="228" t="s">
        <v>35</v>
      </c>
      <c r="O60" s="129">
        <v>7</v>
      </c>
      <c r="P60" s="260" t="s">
        <v>314</v>
      </c>
      <c r="Q60" s="261"/>
      <c r="R60" s="262"/>
      <c r="S60" s="219">
        <f t="shared" si="8"/>
        <v>0</v>
      </c>
      <c r="T60" s="219"/>
      <c r="U60" s="219"/>
      <c r="V60" s="219"/>
      <c r="W60" s="219"/>
      <c r="X60" s="219"/>
      <c r="Y60" s="219"/>
      <c r="Z60" s="214">
        <f t="shared" si="9"/>
        <v>0</v>
      </c>
      <c r="AA60" s="215">
        <f t="shared" si="10"/>
        <v>0</v>
      </c>
    </row>
    <row r="61" spans="2:27" ht="15" customHeight="1" hidden="1" thickBot="1">
      <c r="B61" s="93">
        <v>10</v>
      </c>
      <c r="C61" s="94" t="s">
        <v>187</v>
      </c>
      <c r="D61" s="94">
        <v>8</v>
      </c>
      <c r="E61" s="227" t="s">
        <v>342</v>
      </c>
      <c r="F61" s="239" t="s">
        <v>46</v>
      </c>
      <c r="G61" s="240"/>
      <c r="H61" s="241"/>
      <c r="I61" s="239" t="s">
        <v>18</v>
      </c>
      <c r="J61" s="255"/>
      <c r="K61" s="256"/>
      <c r="L61" s="228" t="s">
        <v>107</v>
      </c>
      <c r="O61" s="129">
        <v>8</v>
      </c>
      <c r="P61" s="260" t="s">
        <v>325</v>
      </c>
      <c r="Q61" s="261"/>
      <c r="R61" s="262"/>
      <c r="S61" s="128">
        <f t="shared" si="8"/>
        <v>0</v>
      </c>
      <c r="T61" s="128"/>
      <c r="U61" s="128"/>
      <c r="V61" s="128"/>
      <c r="W61" s="128"/>
      <c r="X61" s="128"/>
      <c r="Y61" s="128"/>
      <c r="Z61" s="214">
        <f t="shared" si="9"/>
        <v>0</v>
      </c>
      <c r="AA61" s="215">
        <f t="shared" si="10"/>
        <v>0</v>
      </c>
    </row>
    <row r="62" spans="2:27" ht="15.75" customHeight="1" hidden="1" thickBot="1">
      <c r="B62" s="93">
        <v>10</v>
      </c>
      <c r="C62" s="94" t="s">
        <v>188</v>
      </c>
      <c r="D62" s="94">
        <v>9</v>
      </c>
      <c r="E62" s="229" t="s">
        <v>343</v>
      </c>
      <c r="F62" s="242" t="s">
        <v>30</v>
      </c>
      <c r="G62" s="243"/>
      <c r="H62" s="244"/>
      <c r="I62" s="242" t="s">
        <v>24</v>
      </c>
      <c r="J62" s="243"/>
      <c r="K62" s="257"/>
      <c r="L62" s="228" t="s">
        <v>66</v>
      </c>
      <c r="O62" s="129">
        <v>9</v>
      </c>
      <c r="P62" s="260" t="s">
        <v>327</v>
      </c>
      <c r="Q62" s="261"/>
      <c r="R62" s="262"/>
      <c r="S62" s="128">
        <f aca="true" t="shared" si="11" ref="S62:S91">SUM(T62:W62)</f>
        <v>0</v>
      </c>
      <c r="T62" s="128"/>
      <c r="U62" s="128"/>
      <c r="V62" s="128"/>
      <c r="W62" s="128"/>
      <c r="X62" s="128"/>
      <c r="Y62" s="128"/>
      <c r="Z62" s="214">
        <f t="shared" si="9"/>
        <v>0</v>
      </c>
      <c r="AA62" s="215">
        <f t="shared" si="10"/>
        <v>0</v>
      </c>
    </row>
    <row r="63" spans="2:27" ht="15" hidden="1">
      <c r="B63" s="93">
        <v>10</v>
      </c>
      <c r="C63" s="94" t="s">
        <v>188</v>
      </c>
      <c r="D63" s="94">
        <v>10</v>
      </c>
      <c r="E63" s="229" t="s">
        <v>344</v>
      </c>
      <c r="F63" s="242" t="s">
        <v>309</v>
      </c>
      <c r="G63" s="243"/>
      <c r="H63" s="244"/>
      <c r="I63" s="242" t="s">
        <v>29</v>
      </c>
      <c r="J63" s="243"/>
      <c r="K63" s="257"/>
      <c r="L63" s="228" t="s">
        <v>69</v>
      </c>
      <c r="O63" s="129">
        <v>10</v>
      </c>
      <c r="P63" s="260" t="s">
        <v>304</v>
      </c>
      <c r="Q63" s="261"/>
      <c r="R63" s="262"/>
      <c r="S63" s="128">
        <f t="shared" si="11"/>
        <v>0</v>
      </c>
      <c r="T63" s="128"/>
      <c r="U63" s="128"/>
      <c r="V63" s="128"/>
      <c r="W63" s="128"/>
      <c r="X63" s="128"/>
      <c r="Y63" s="128"/>
      <c r="Z63" s="214">
        <f t="shared" si="9"/>
        <v>0</v>
      </c>
      <c r="AA63" s="215">
        <f t="shared" si="10"/>
        <v>0</v>
      </c>
    </row>
    <row r="64" spans="2:27" ht="15" hidden="1">
      <c r="B64" s="93">
        <v>10</v>
      </c>
      <c r="C64" s="94" t="s">
        <v>188</v>
      </c>
      <c r="D64" s="94">
        <v>11</v>
      </c>
      <c r="E64" s="229" t="s">
        <v>345</v>
      </c>
      <c r="F64" s="242" t="s">
        <v>124</v>
      </c>
      <c r="G64" s="243"/>
      <c r="H64" s="244"/>
      <c r="I64" s="242" t="s">
        <v>320</v>
      </c>
      <c r="J64" s="243"/>
      <c r="K64" s="257"/>
      <c r="L64" s="228" t="s">
        <v>22</v>
      </c>
      <c r="O64" s="129">
        <v>11</v>
      </c>
      <c r="P64" s="260" t="s">
        <v>322</v>
      </c>
      <c r="Q64" s="261"/>
      <c r="R64" s="262"/>
      <c r="S64" s="128">
        <f t="shared" si="11"/>
        <v>0</v>
      </c>
      <c r="T64" s="128"/>
      <c r="U64" s="128"/>
      <c r="V64" s="128"/>
      <c r="W64" s="128"/>
      <c r="X64" s="128"/>
      <c r="Y64" s="128"/>
      <c r="Z64" s="214">
        <f t="shared" si="9"/>
        <v>0</v>
      </c>
      <c r="AA64" s="215">
        <f t="shared" si="10"/>
        <v>0</v>
      </c>
    </row>
    <row r="65" spans="2:27" ht="15" customHeight="1" hidden="1" thickBot="1">
      <c r="B65" s="93">
        <v>10</v>
      </c>
      <c r="C65" s="94" t="s">
        <v>188</v>
      </c>
      <c r="D65" s="94">
        <v>12</v>
      </c>
      <c r="E65" s="229" t="s">
        <v>346</v>
      </c>
      <c r="F65" s="242" t="s">
        <v>323</v>
      </c>
      <c r="G65" s="243"/>
      <c r="H65" s="244"/>
      <c r="I65" s="242" t="s">
        <v>41</v>
      </c>
      <c r="J65" s="243"/>
      <c r="K65" s="257"/>
      <c r="L65" s="228" t="s">
        <v>271</v>
      </c>
      <c r="O65" s="129">
        <v>12</v>
      </c>
      <c r="P65" s="260" t="s">
        <v>302</v>
      </c>
      <c r="Q65" s="261"/>
      <c r="R65" s="262"/>
      <c r="S65" s="128">
        <f t="shared" si="11"/>
        <v>0</v>
      </c>
      <c r="T65" s="128"/>
      <c r="U65" s="128"/>
      <c r="V65" s="128"/>
      <c r="W65" s="128"/>
      <c r="X65" s="128"/>
      <c r="Y65" s="128"/>
      <c r="Z65" s="214">
        <f t="shared" si="9"/>
        <v>0</v>
      </c>
      <c r="AA65" s="215">
        <f t="shared" si="10"/>
        <v>0</v>
      </c>
    </row>
    <row r="66" spans="2:27" ht="15" customHeight="1" hidden="1" thickBot="1">
      <c r="B66" s="93">
        <v>10</v>
      </c>
      <c r="C66" s="94" t="s">
        <v>188</v>
      </c>
      <c r="D66" s="94">
        <v>13</v>
      </c>
      <c r="E66" s="229" t="s">
        <v>347</v>
      </c>
      <c r="F66" s="242" t="s">
        <v>348</v>
      </c>
      <c r="G66" s="243"/>
      <c r="H66" s="244"/>
      <c r="I66" s="242" t="s">
        <v>349</v>
      </c>
      <c r="J66" s="243"/>
      <c r="K66" s="257"/>
      <c r="L66" s="228" t="s">
        <v>22</v>
      </c>
      <c r="O66" s="129">
        <v>13</v>
      </c>
      <c r="P66" s="260" t="s">
        <v>34</v>
      </c>
      <c r="Q66" s="261"/>
      <c r="R66" s="262"/>
      <c r="S66" s="128">
        <f t="shared" si="11"/>
        <v>0</v>
      </c>
      <c r="T66" s="128"/>
      <c r="U66" s="128"/>
      <c r="V66" s="128"/>
      <c r="W66" s="128"/>
      <c r="X66" s="128"/>
      <c r="Y66" s="128"/>
      <c r="Z66" s="214">
        <f t="shared" si="9"/>
        <v>0</v>
      </c>
      <c r="AA66" s="215">
        <f t="shared" si="10"/>
        <v>0</v>
      </c>
    </row>
    <row r="67" spans="2:27" ht="15" customHeight="1" hidden="1" thickBot="1">
      <c r="B67" s="93">
        <v>10</v>
      </c>
      <c r="C67" s="94" t="s">
        <v>188</v>
      </c>
      <c r="D67" s="94">
        <v>14</v>
      </c>
      <c r="E67" s="229" t="s">
        <v>350</v>
      </c>
      <c r="F67" s="242" t="s">
        <v>324</v>
      </c>
      <c r="G67" s="243"/>
      <c r="H67" s="244"/>
      <c r="I67" s="242" t="s">
        <v>351</v>
      </c>
      <c r="J67" s="243"/>
      <c r="K67" s="257"/>
      <c r="L67" s="228" t="s">
        <v>12</v>
      </c>
      <c r="M67" s="126"/>
      <c r="O67" s="129">
        <v>14</v>
      </c>
      <c r="P67" s="260" t="s">
        <v>310</v>
      </c>
      <c r="Q67" s="261"/>
      <c r="R67" s="262"/>
      <c r="S67" s="128">
        <f t="shared" si="11"/>
        <v>0</v>
      </c>
      <c r="T67" s="128"/>
      <c r="U67" s="128"/>
      <c r="V67" s="128"/>
      <c r="W67" s="128"/>
      <c r="X67" s="128"/>
      <c r="Y67" s="128"/>
      <c r="Z67" s="214">
        <f t="shared" si="9"/>
        <v>0</v>
      </c>
      <c r="AA67" s="215">
        <f t="shared" si="10"/>
        <v>0</v>
      </c>
    </row>
    <row r="68" spans="2:27" ht="15.75" customHeight="1" hidden="1" thickBot="1">
      <c r="B68" s="93">
        <v>10</v>
      </c>
      <c r="C68" s="94" t="s">
        <v>188</v>
      </c>
      <c r="D68" s="94">
        <v>15</v>
      </c>
      <c r="E68" s="229" t="s">
        <v>352</v>
      </c>
      <c r="F68" s="242" t="s">
        <v>308</v>
      </c>
      <c r="G68" s="243"/>
      <c r="H68" s="244"/>
      <c r="I68" s="242" t="s">
        <v>353</v>
      </c>
      <c r="J68" s="243"/>
      <c r="K68" s="257"/>
      <c r="L68" s="228" t="s">
        <v>65</v>
      </c>
      <c r="O68" s="129">
        <v>15</v>
      </c>
      <c r="P68" s="260" t="s">
        <v>36</v>
      </c>
      <c r="Q68" s="261"/>
      <c r="R68" s="262"/>
      <c r="S68" s="219">
        <f t="shared" si="11"/>
        <v>0</v>
      </c>
      <c r="T68" s="219"/>
      <c r="U68" s="219"/>
      <c r="V68" s="219"/>
      <c r="W68" s="219"/>
      <c r="X68" s="219"/>
      <c r="Y68" s="219"/>
      <c r="Z68" s="214">
        <f t="shared" si="9"/>
        <v>0</v>
      </c>
      <c r="AA68" s="215">
        <f t="shared" si="10"/>
        <v>0</v>
      </c>
    </row>
    <row r="69" spans="2:27" ht="15.75" customHeight="1" hidden="1" thickBot="1">
      <c r="B69" s="93">
        <v>10</v>
      </c>
      <c r="C69" s="94" t="s">
        <v>188</v>
      </c>
      <c r="D69" s="94">
        <v>16</v>
      </c>
      <c r="E69" s="229" t="s">
        <v>354</v>
      </c>
      <c r="F69" s="242" t="s">
        <v>127</v>
      </c>
      <c r="G69" s="243"/>
      <c r="H69" s="244"/>
      <c r="I69" s="242" t="s">
        <v>21</v>
      </c>
      <c r="J69" s="243"/>
      <c r="K69" s="257"/>
      <c r="L69" s="228" t="s">
        <v>104</v>
      </c>
      <c r="O69" s="129">
        <v>16</v>
      </c>
      <c r="P69" s="260" t="s">
        <v>33</v>
      </c>
      <c r="Q69" s="261"/>
      <c r="R69" s="262"/>
      <c r="S69" s="128">
        <f t="shared" si="11"/>
        <v>0</v>
      </c>
      <c r="T69" s="128"/>
      <c r="U69" s="128"/>
      <c r="V69" s="128"/>
      <c r="W69" s="128"/>
      <c r="X69" s="128"/>
      <c r="Y69" s="128"/>
      <c r="Z69" s="214">
        <f t="shared" si="9"/>
        <v>0</v>
      </c>
      <c r="AA69" s="215">
        <f t="shared" si="10"/>
        <v>0</v>
      </c>
    </row>
    <row r="70" spans="2:27" ht="15" customHeight="1" hidden="1" thickBot="1">
      <c r="B70" s="93">
        <v>10</v>
      </c>
      <c r="C70" s="94" t="s">
        <v>189</v>
      </c>
      <c r="D70" s="94">
        <v>17</v>
      </c>
      <c r="E70" s="230" t="s">
        <v>355</v>
      </c>
      <c r="F70" s="245" t="s">
        <v>32</v>
      </c>
      <c r="G70" s="246"/>
      <c r="H70" s="247"/>
      <c r="I70" s="245" t="s">
        <v>17</v>
      </c>
      <c r="J70" s="246"/>
      <c r="K70" s="258"/>
      <c r="L70" s="228" t="s">
        <v>136</v>
      </c>
      <c r="O70" s="129">
        <v>17</v>
      </c>
      <c r="P70" s="260" t="s">
        <v>324</v>
      </c>
      <c r="Q70" s="261"/>
      <c r="R70" s="262"/>
      <c r="S70" s="128">
        <f t="shared" si="11"/>
        <v>0</v>
      </c>
      <c r="T70" s="128"/>
      <c r="U70" s="128"/>
      <c r="V70" s="128"/>
      <c r="W70" s="128"/>
      <c r="X70" s="128"/>
      <c r="Y70" s="128"/>
      <c r="Z70" s="214">
        <f t="shared" si="9"/>
        <v>0</v>
      </c>
      <c r="AA70" s="215">
        <f t="shared" si="10"/>
        <v>0</v>
      </c>
    </row>
    <row r="71" spans="2:27" ht="15" customHeight="1" hidden="1" thickBot="1">
      <c r="B71" s="122">
        <v>10</v>
      </c>
      <c r="C71" s="123" t="s">
        <v>189</v>
      </c>
      <c r="D71" s="123">
        <v>18</v>
      </c>
      <c r="E71" s="231" t="s">
        <v>356</v>
      </c>
      <c r="F71" s="248" t="s">
        <v>13</v>
      </c>
      <c r="G71" s="249"/>
      <c r="H71" s="250"/>
      <c r="I71" s="248" t="s">
        <v>52</v>
      </c>
      <c r="J71" s="249"/>
      <c r="K71" s="259"/>
      <c r="L71" s="232" t="s">
        <v>22</v>
      </c>
      <c r="O71" s="129">
        <v>18</v>
      </c>
      <c r="P71" s="260" t="s">
        <v>29</v>
      </c>
      <c r="Q71" s="261"/>
      <c r="R71" s="262"/>
      <c r="S71" s="128">
        <f t="shared" si="11"/>
        <v>0</v>
      </c>
      <c r="T71" s="128"/>
      <c r="U71" s="128"/>
      <c r="V71" s="128"/>
      <c r="W71" s="128"/>
      <c r="X71" s="128"/>
      <c r="Y71" s="128"/>
      <c r="Z71" s="214">
        <f t="shared" si="9"/>
        <v>0</v>
      </c>
      <c r="AA71" s="215">
        <f t="shared" si="10"/>
        <v>0</v>
      </c>
    </row>
    <row r="72" spans="2:27" ht="15" customHeight="1" hidden="1" thickBot="1">
      <c r="B72" s="120">
        <v>11</v>
      </c>
      <c r="C72" s="121" t="s">
        <v>190</v>
      </c>
      <c r="D72" s="121">
        <v>19</v>
      </c>
      <c r="E72" s="225" t="s">
        <v>358</v>
      </c>
      <c r="F72" s="587" t="s">
        <v>15</v>
      </c>
      <c r="G72" s="588"/>
      <c r="H72" s="589"/>
      <c r="I72" s="456" t="s">
        <v>332</v>
      </c>
      <c r="J72" s="270"/>
      <c r="K72" s="271"/>
      <c r="L72" s="226" t="s">
        <v>105</v>
      </c>
      <c r="O72" s="129">
        <v>19</v>
      </c>
      <c r="P72" s="260" t="s">
        <v>316</v>
      </c>
      <c r="Q72" s="261"/>
      <c r="R72" s="262"/>
      <c r="S72" s="128">
        <f t="shared" si="11"/>
        <v>0</v>
      </c>
      <c r="T72" s="128"/>
      <c r="U72" s="128"/>
      <c r="V72" s="128"/>
      <c r="W72" s="128"/>
      <c r="X72" s="128"/>
      <c r="Y72" s="128"/>
      <c r="Z72" s="214">
        <f t="shared" si="9"/>
        <v>0</v>
      </c>
      <c r="AA72" s="215">
        <f t="shared" si="10"/>
        <v>0</v>
      </c>
    </row>
    <row r="73" spans="2:27" ht="15" customHeight="1" hidden="1" thickBot="1">
      <c r="B73" s="93">
        <v>11</v>
      </c>
      <c r="C73" s="94" t="s">
        <v>190</v>
      </c>
      <c r="D73" s="94">
        <v>20</v>
      </c>
      <c r="E73" s="227" t="s">
        <v>359</v>
      </c>
      <c r="F73" s="607" t="s">
        <v>49</v>
      </c>
      <c r="G73" s="591"/>
      <c r="H73" s="592"/>
      <c r="I73" s="457" t="s">
        <v>28</v>
      </c>
      <c r="J73" s="272"/>
      <c r="K73" s="273"/>
      <c r="L73" s="228" t="s">
        <v>178</v>
      </c>
      <c r="O73" s="129">
        <v>20</v>
      </c>
      <c r="P73" s="260" t="s">
        <v>127</v>
      </c>
      <c r="Q73" s="261"/>
      <c r="R73" s="262"/>
      <c r="S73" s="128">
        <f t="shared" si="11"/>
        <v>0</v>
      </c>
      <c r="T73" s="128"/>
      <c r="U73" s="128"/>
      <c r="V73" s="128"/>
      <c r="W73" s="128"/>
      <c r="X73" s="128"/>
      <c r="Y73" s="128"/>
      <c r="Z73" s="214">
        <f t="shared" si="9"/>
        <v>0</v>
      </c>
      <c r="AA73" s="215">
        <f t="shared" si="10"/>
        <v>0</v>
      </c>
    </row>
    <row r="74" spans="2:27" ht="15.75" customHeight="1" hidden="1" thickBot="1">
      <c r="B74" s="93">
        <v>11</v>
      </c>
      <c r="C74" s="94" t="s">
        <v>190</v>
      </c>
      <c r="D74" s="94">
        <v>21</v>
      </c>
      <c r="E74" s="227" t="s">
        <v>360</v>
      </c>
      <c r="F74" s="268" t="s">
        <v>50</v>
      </c>
      <c r="G74" s="268"/>
      <c r="H74" s="268"/>
      <c r="I74" s="457" t="s">
        <v>339</v>
      </c>
      <c r="J74" s="272"/>
      <c r="K74" s="273"/>
      <c r="L74" s="228" t="s">
        <v>27</v>
      </c>
      <c r="O74" s="129">
        <v>21</v>
      </c>
      <c r="P74" s="260" t="s">
        <v>320</v>
      </c>
      <c r="Q74" s="261"/>
      <c r="R74" s="262"/>
      <c r="S74" s="128">
        <f t="shared" si="11"/>
        <v>0</v>
      </c>
      <c r="T74" s="128"/>
      <c r="U74" s="128"/>
      <c r="V74" s="128"/>
      <c r="W74" s="128"/>
      <c r="X74" s="128"/>
      <c r="Y74" s="128"/>
      <c r="Z74" s="214">
        <f t="shared" si="9"/>
        <v>0</v>
      </c>
      <c r="AA74" s="215">
        <f t="shared" si="10"/>
        <v>0</v>
      </c>
    </row>
    <row r="75" spans="2:27" ht="15" hidden="1">
      <c r="B75" s="93">
        <v>11</v>
      </c>
      <c r="C75" s="94" t="s">
        <v>190</v>
      </c>
      <c r="D75" s="94">
        <v>22</v>
      </c>
      <c r="E75" s="227" t="s">
        <v>361</v>
      </c>
      <c r="F75" s="268" t="s">
        <v>341</v>
      </c>
      <c r="G75" s="268"/>
      <c r="H75" s="268"/>
      <c r="I75" s="457" t="s">
        <v>46</v>
      </c>
      <c r="J75" s="272"/>
      <c r="K75" s="273"/>
      <c r="L75" s="228" t="s">
        <v>105</v>
      </c>
      <c r="O75" s="129">
        <v>22</v>
      </c>
      <c r="P75" s="260" t="s">
        <v>328</v>
      </c>
      <c r="Q75" s="261"/>
      <c r="R75" s="262"/>
      <c r="S75" s="128">
        <f t="shared" si="11"/>
        <v>0</v>
      </c>
      <c r="T75" s="128"/>
      <c r="U75" s="128"/>
      <c r="V75" s="128"/>
      <c r="W75" s="128"/>
      <c r="X75" s="128"/>
      <c r="Y75" s="128"/>
      <c r="Z75" s="214">
        <f t="shared" si="9"/>
        <v>0</v>
      </c>
      <c r="AA75" s="215">
        <f t="shared" si="10"/>
        <v>0</v>
      </c>
    </row>
    <row r="76" spans="2:27" ht="15" hidden="1">
      <c r="B76" s="93">
        <v>11</v>
      </c>
      <c r="C76" s="94" t="s">
        <v>191</v>
      </c>
      <c r="D76" s="94">
        <v>23</v>
      </c>
      <c r="E76" s="229" t="s">
        <v>362</v>
      </c>
      <c r="F76" s="608" t="s">
        <v>36</v>
      </c>
      <c r="G76" s="609"/>
      <c r="H76" s="610"/>
      <c r="I76" s="455" t="s">
        <v>333</v>
      </c>
      <c r="J76" s="274"/>
      <c r="K76" s="275"/>
      <c r="L76" s="228" t="s">
        <v>376</v>
      </c>
      <c r="O76" s="129">
        <v>23</v>
      </c>
      <c r="P76" s="260" t="s">
        <v>326</v>
      </c>
      <c r="Q76" s="261"/>
      <c r="R76" s="262"/>
      <c r="S76" s="219">
        <f t="shared" si="11"/>
        <v>0</v>
      </c>
      <c r="T76" s="219"/>
      <c r="U76" s="219"/>
      <c r="V76" s="219"/>
      <c r="W76" s="219"/>
      <c r="X76" s="219"/>
      <c r="Y76" s="219"/>
      <c r="Z76" s="214">
        <f t="shared" si="9"/>
        <v>0</v>
      </c>
      <c r="AA76" s="215">
        <f t="shared" si="10"/>
        <v>0</v>
      </c>
    </row>
    <row r="77" spans="2:27" ht="15" customHeight="1" hidden="1" thickBot="1">
      <c r="B77" s="93">
        <v>11</v>
      </c>
      <c r="C77" s="94" t="s">
        <v>191</v>
      </c>
      <c r="D77" s="94">
        <v>24</v>
      </c>
      <c r="E77" s="229" t="s">
        <v>363</v>
      </c>
      <c r="F77" s="611" t="s">
        <v>11</v>
      </c>
      <c r="G77" s="594"/>
      <c r="H77" s="595"/>
      <c r="I77" s="455" t="s">
        <v>322</v>
      </c>
      <c r="J77" s="274"/>
      <c r="K77" s="275"/>
      <c r="L77" s="228" t="s">
        <v>51</v>
      </c>
      <c r="O77" s="129">
        <v>24</v>
      </c>
      <c r="P77" s="260" t="s">
        <v>308</v>
      </c>
      <c r="Q77" s="261"/>
      <c r="R77" s="262"/>
      <c r="S77" s="219">
        <f t="shared" si="11"/>
        <v>0</v>
      </c>
      <c r="T77" s="219"/>
      <c r="U77" s="219"/>
      <c r="V77" s="219"/>
      <c r="W77" s="219"/>
      <c r="X77" s="219"/>
      <c r="Y77" s="219"/>
      <c r="Z77" s="214">
        <f t="shared" si="9"/>
        <v>0</v>
      </c>
      <c r="AA77" s="215">
        <f t="shared" si="10"/>
        <v>0</v>
      </c>
    </row>
    <row r="78" spans="2:27" ht="15" customHeight="1" hidden="1" thickBot="1">
      <c r="B78" s="93">
        <v>11</v>
      </c>
      <c r="C78" s="94" t="s">
        <v>191</v>
      </c>
      <c r="D78" s="94">
        <v>25</v>
      </c>
      <c r="E78" s="229" t="s">
        <v>364</v>
      </c>
      <c r="F78" s="611" t="s">
        <v>34</v>
      </c>
      <c r="G78" s="594"/>
      <c r="H78" s="595"/>
      <c r="I78" s="455" t="s">
        <v>33</v>
      </c>
      <c r="J78" s="274"/>
      <c r="K78" s="275"/>
      <c r="L78" s="228" t="s">
        <v>178</v>
      </c>
      <c r="O78" s="129">
        <v>25</v>
      </c>
      <c r="P78" s="260" t="s">
        <v>329</v>
      </c>
      <c r="Q78" s="261"/>
      <c r="R78" s="262"/>
      <c r="S78" s="128">
        <f t="shared" si="11"/>
        <v>0</v>
      </c>
      <c r="T78" s="128"/>
      <c r="U78" s="128"/>
      <c r="V78" s="128"/>
      <c r="W78" s="128"/>
      <c r="X78" s="128"/>
      <c r="Y78" s="128"/>
      <c r="Z78" s="214">
        <f t="shared" si="9"/>
        <v>0</v>
      </c>
      <c r="AA78" s="215">
        <f t="shared" si="10"/>
        <v>0</v>
      </c>
    </row>
    <row r="79" spans="2:27" ht="15" customHeight="1" hidden="1" thickBot="1">
      <c r="B79" s="93">
        <v>11</v>
      </c>
      <c r="C79" s="94" t="s">
        <v>191</v>
      </c>
      <c r="D79" s="94">
        <v>26</v>
      </c>
      <c r="E79" s="229" t="s">
        <v>365</v>
      </c>
      <c r="F79" s="611" t="s">
        <v>38</v>
      </c>
      <c r="G79" s="594"/>
      <c r="H79" s="595"/>
      <c r="I79" s="455" t="s">
        <v>18</v>
      </c>
      <c r="J79" s="274"/>
      <c r="K79" s="275"/>
      <c r="L79" s="228" t="s">
        <v>14</v>
      </c>
      <c r="O79" s="129">
        <v>26</v>
      </c>
      <c r="P79" s="260" t="s">
        <v>24</v>
      </c>
      <c r="Q79" s="261"/>
      <c r="R79" s="262"/>
      <c r="S79" s="128">
        <f t="shared" si="11"/>
        <v>0</v>
      </c>
      <c r="T79" s="128"/>
      <c r="U79" s="128"/>
      <c r="V79" s="128"/>
      <c r="W79" s="128"/>
      <c r="X79" s="128"/>
      <c r="Y79" s="128"/>
      <c r="Z79" s="214">
        <f t="shared" si="9"/>
        <v>0</v>
      </c>
      <c r="AA79" s="215">
        <f t="shared" si="10"/>
        <v>0</v>
      </c>
    </row>
    <row r="80" spans="2:27" ht="15.75" customHeight="1" hidden="1" thickBot="1">
      <c r="B80" s="93">
        <v>11</v>
      </c>
      <c r="C80" s="94" t="s">
        <v>192</v>
      </c>
      <c r="D80" s="94">
        <v>27</v>
      </c>
      <c r="E80" s="267" t="s">
        <v>366</v>
      </c>
      <c r="F80" s="269" t="s">
        <v>30</v>
      </c>
      <c r="G80" s="269"/>
      <c r="H80" s="269"/>
      <c r="I80" s="280" t="s">
        <v>29</v>
      </c>
      <c r="J80" s="272"/>
      <c r="K80" s="273"/>
      <c r="L80" s="228" t="s">
        <v>101</v>
      </c>
      <c r="O80" s="129">
        <v>27</v>
      </c>
      <c r="P80" s="260" t="s">
        <v>237</v>
      </c>
      <c r="Q80" s="261"/>
      <c r="R80" s="262"/>
      <c r="S80" s="128">
        <f t="shared" si="11"/>
        <v>0</v>
      </c>
      <c r="T80" s="128"/>
      <c r="U80" s="128"/>
      <c r="V80" s="128"/>
      <c r="W80" s="128"/>
      <c r="X80" s="128"/>
      <c r="Y80" s="128"/>
      <c r="Z80" s="214">
        <f t="shared" si="9"/>
        <v>0</v>
      </c>
      <c r="AA80" s="215">
        <f t="shared" si="10"/>
        <v>0</v>
      </c>
    </row>
    <row r="81" spans="2:27" ht="15.75" customHeight="1" hidden="1" thickBot="1">
      <c r="B81" s="93">
        <v>11</v>
      </c>
      <c r="C81" s="94" t="s">
        <v>192</v>
      </c>
      <c r="D81" s="94">
        <v>28</v>
      </c>
      <c r="E81" s="227" t="s">
        <v>367</v>
      </c>
      <c r="F81" s="268" t="s">
        <v>320</v>
      </c>
      <c r="G81" s="268"/>
      <c r="H81" s="268"/>
      <c r="I81" s="457" t="s">
        <v>41</v>
      </c>
      <c r="J81" s="272"/>
      <c r="K81" s="273"/>
      <c r="L81" s="228" t="s">
        <v>51</v>
      </c>
      <c r="O81" s="129">
        <v>28</v>
      </c>
      <c r="P81" s="260" t="s">
        <v>124</v>
      </c>
      <c r="Q81" s="261"/>
      <c r="R81" s="262"/>
      <c r="S81" s="128">
        <f t="shared" si="11"/>
        <v>0</v>
      </c>
      <c r="T81" s="128"/>
      <c r="U81" s="128"/>
      <c r="V81" s="128"/>
      <c r="W81" s="128"/>
      <c r="X81" s="128"/>
      <c r="Y81" s="128"/>
      <c r="Z81" s="214">
        <f t="shared" si="9"/>
        <v>0</v>
      </c>
      <c r="AA81" s="215">
        <f t="shared" si="10"/>
        <v>0</v>
      </c>
    </row>
    <row r="82" spans="2:27" ht="15" customHeight="1" hidden="1" thickBot="1">
      <c r="B82" s="93">
        <v>11</v>
      </c>
      <c r="C82" s="94" t="s">
        <v>192</v>
      </c>
      <c r="D82" s="94">
        <v>29</v>
      </c>
      <c r="E82" s="227" t="s">
        <v>368</v>
      </c>
      <c r="F82" s="268" t="s">
        <v>349</v>
      </c>
      <c r="G82" s="268"/>
      <c r="H82" s="268"/>
      <c r="I82" s="457" t="s">
        <v>324</v>
      </c>
      <c r="J82" s="272"/>
      <c r="K82" s="273"/>
      <c r="L82" s="228" t="s">
        <v>64</v>
      </c>
      <c r="O82" s="129">
        <v>29</v>
      </c>
      <c r="P82" s="260" t="s">
        <v>312</v>
      </c>
      <c r="Q82" s="261"/>
      <c r="R82" s="262"/>
      <c r="S82" s="128">
        <f t="shared" si="11"/>
        <v>0</v>
      </c>
      <c r="T82" s="128"/>
      <c r="U82" s="128"/>
      <c r="V82" s="128"/>
      <c r="W82" s="128"/>
      <c r="X82" s="128"/>
      <c r="Y82" s="128"/>
      <c r="Z82" s="214">
        <f t="shared" si="9"/>
        <v>0</v>
      </c>
      <c r="AA82" s="215">
        <f t="shared" si="10"/>
        <v>0</v>
      </c>
    </row>
    <row r="83" spans="2:27" ht="15" customHeight="1" hidden="1" thickBot="1">
      <c r="B83" s="93">
        <v>11</v>
      </c>
      <c r="C83" s="94" t="s">
        <v>192</v>
      </c>
      <c r="D83" s="94">
        <v>30</v>
      </c>
      <c r="E83" s="227" t="s">
        <v>369</v>
      </c>
      <c r="F83" s="607" t="s">
        <v>353</v>
      </c>
      <c r="G83" s="591"/>
      <c r="H83" s="592"/>
      <c r="I83" s="457" t="s">
        <v>127</v>
      </c>
      <c r="J83" s="272"/>
      <c r="K83" s="273"/>
      <c r="L83" s="228" t="s">
        <v>59</v>
      </c>
      <c r="O83" s="129">
        <v>30</v>
      </c>
      <c r="P83" s="260" t="s">
        <v>323</v>
      </c>
      <c r="Q83" s="261"/>
      <c r="R83" s="262"/>
      <c r="S83" s="128">
        <f t="shared" si="11"/>
        <v>0</v>
      </c>
      <c r="T83" s="128"/>
      <c r="U83" s="128"/>
      <c r="V83" s="128"/>
      <c r="W83" s="128"/>
      <c r="X83" s="128"/>
      <c r="Y83" s="128"/>
      <c r="Z83" s="214">
        <f t="shared" si="9"/>
        <v>0</v>
      </c>
      <c r="AA83" s="215">
        <f t="shared" si="10"/>
        <v>0</v>
      </c>
    </row>
    <row r="84" spans="2:27" ht="15" customHeight="1" hidden="1" thickBot="1">
      <c r="B84" s="93">
        <v>11</v>
      </c>
      <c r="C84" s="94" t="s">
        <v>193</v>
      </c>
      <c r="D84" s="94">
        <v>31</v>
      </c>
      <c r="E84" s="229" t="s">
        <v>370</v>
      </c>
      <c r="F84" s="611" t="s">
        <v>24</v>
      </c>
      <c r="G84" s="594"/>
      <c r="H84" s="595"/>
      <c r="I84" s="455" t="s">
        <v>309</v>
      </c>
      <c r="J84" s="274"/>
      <c r="K84" s="275"/>
      <c r="L84" s="228" t="s">
        <v>100</v>
      </c>
      <c r="O84" s="129">
        <v>31</v>
      </c>
      <c r="P84" s="260" t="s">
        <v>309</v>
      </c>
      <c r="Q84" s="261"/>
      <c r="R84" s="262"/>
      <c r="S84" s="128">
        <f t="shared" si="11"/>
        <v>0</v>
      </c>
      <c r="T84" s="128"/>
      <c r="U84" s="128"/>
      <c r="V84" s="128"/>
      <c r="W84" s="128"/>
      <c r="X84" s="128"/>
      <c r="Y84" s="128"/>
      <c r="Z84" s="214">
        <f t="shared" si="9"/>
        <v>0</v>
      </c>
      <c r="AA84" s="215">
        <f t="shared" si="10"/>
        <v>0</v>
      </c>
    </row>
    <row r="85" spans="2:27" ht="15" customHeight="1" hidden="1" thickBot="1">
      <c r="B85" s="93">
        <v>11</v>
      </c>
      <c r="C85" s="94" t="s">
        <v>193</v>
      </c>
      <c r="D85" s="94">
        <v>32</v>
      </c>
      <c r="E85" s="229" t="s">
        <v>371</v>
      </c>
      <c r="F85" s="611" t="s">
        <v>124</v>
      </c>
      <c r="G85" s="594"/>
      <c r="H85" s="595"/>
      <c r="I85" s="455" t="s">
        <v>323</v>
      </c>
      <c r="J85" s="274"/>
      <c r="K85" s="275"/>
      <c r="L85" s="228" t="s">
        <v>22</v>
      </c>
      <c r="O85" s="129">
        <v>32</v>
      </c>
      <c r="P85" s="260" t="s">
        <v>305</v>
      </c>
      <c r="Q85" s="261"/>
      <c r="R85" s="262"/>
      <c r="S85" s="128">
        <f t="shared" si="11"/>
        <v>0</v>
      </c>
      <c r="T85" s="128"/>
      <c r="U85" s="128"/>
      <c r="V85" s="128"/>
      <c r="W85" s="128"/>
      <c r="X85" s="128"/>
      <c r="Y85" s="128"/>
      <c r="Z85" s="214">
        <f t="shared" si="9"/>
        <v>0</v>
      </c>
      <c r="AA85" s="215">
        <f t="shared" si="10"/>
        <v>0</v>
      </c>
    </row>
    <row r="86" spans="2:27" ht="15.75" customHeight="1" hidden="1" thickBot="1">
      <c r="B86" s="93">
        <v>11</v>
      </c>
      <c r="C86" s="94" t="s">
        <v>193</v>
      </c>
      <c r="D86" s="94">
        <v>33</v>
      </c>
      <c r="E86" s="229" t="s">
        <v>372</v>
      </c>
      <c r="F86" s="611" t="s">
        <v>348</v>
      </c>
      <c r="G86" s="594"/>
      <c r="H86" s="595"/>
      <c r="I86" s="455" t="s">
        <v>351</v>
      </c>
      <c r="J86" s="274"/>
      <c r="K86" s="275"/>
      <c r="L86" s="228" t="s">
        <v>22</v>
      </c>
      <c r="O86" s="129">
        <v>33</v>
      </c>
      <c r="P86" s="260" t="s">
        <v>313</v>
      </c>
      <c r="Q86" s="261"/>
      <c r="R86" s="262"/>
      <c r="S86" s="128">
        <f t="shared" si="11"/>
        <v>0</v>
      </c>
      <c r="T86" s="128"/>
      <c r="U86" s="128"/>
      <c r="V86" s="128"/>
      <c r="W86" s="128"/>
      <c r="X86" s="128"/>
      <c r="Y86" s="128"/>
      <c r="Z86" s="214">
        <f t="shared" si="9"/>
        <v>0</v>
      </c>
      <c r="AA86" s="215">
        <f t="shared" si="10"/>
        <v>0</v>
      </c>
    </row>
    <row r="87" spans="2:27" ht="15" hidden="1">
      <c r="B87" s="93">
        <v>11</v>
      </c>
      <c r="C87" s="94" t="s">
        <v>193</v>
      </c>
      <c r="D87" s="94">
        <v>34</v>
      </c>
      <c r="E87" s="229" t="s">
        <v>373</v>
      </c>
      <c r="F87" s="611" t="s">
        <v>308</v>
      </c>
      <c r="G87" s="594"/>
      <c r="H87" s="595"/>
      <c r="I87" s="455" t="s">
        <v>21</v>
      </c>
      <c r="J87" s="274"/>
      <c r="K87" s="275"/>
      <c r="L87" s="228" t="s">
        <v>44</v>
      </c>
      <c r="O87" s="129">
        <v>34</v>
      </c>
      <c r="P87" s="260" t="s">
        <v>13</v>
      </c>
      <c r="Q87" s="261"/>
      <c r="R87" s="262"/>
      <c r="S87" s="128">
        <f t="shared" si="11"/>
        <v>0</v>
      </c>
      <c r="T87" s="128"/>
      <c r="U87" s="128"/>
      <c r="V87" s="128"/>
      <c r="W87" s="128"/>
      <c r="X87" s="128"/>
      <c r="Y87" s="128"/>
      <c r="Z87" s="214">
        <f t="shared" si="9"/>
        <v>0</v>
      </c>
      <c r="AA87" s="215">
        <f t="shared" si="10"/>
        <v>0</v>
      </c>
    </row>
    <row r="88" spans="2:27" ht="15" hidden="1">
      <c r="B88" s="93">
        <v>11</v>
      </c>
      <c r="C88" s="94" t="s">
        <v>194</v>
      </c>
      <c r="D88" s="94">
        <v>35</v>
      </c>
      <c r="E88" s="230" t="s">
        <v>374</v>
      </c>
      <c r="F88" s="612" t="s">
        <v>32</v>
      </c>
      <c r="G88" s="613"/>
      <c r="H88" s="614"/>
      <c r="I88" s="458" t="s">
        <v>52</v>
      </c>
      <c r="J88" s="276"/>
      <c r="K88" s="277"/>
      <c r="L88" s="228" t="s">
        <v>226</v>
      </c>
      <c r="O88" s="129">
        <v>35</v>
      </c>
      <c r="P88" s="260" t="s">
        <v>315</v>
      </c>
      <c r="Q88" s="261"/>
      <c r="R88" s="262"/>
      <c r="S88" s="128">
        <f t="shared" si="11"/>
        <v>0</v>
      </c>
      <c r="T88" s="128"/>
      <c r="U88" s="128"/>
      <c r="V88" s="128"/>
      <c r="W88" s="128"/>
      <c r="X88" s="128"/>
      <c r="Y88" s="128"/>
      <c r="Z88" s="214">
        <f t="shared" si="9"/>
        <v>0</v>
      </c>
      <c r="AA88" s="215">
        <f t="shared" si="10"/>
        <v>0</v>
      </c>
    </row>
    <row r="89" spans="2:27" ht="15.75" customHeight="1" hidden="1" thickBot="1">
      <c r="B89" s="112">
        <v>11</v>
      </c>
      <c r="C89" s="123" t="s">
        <v>195</v>
      </c>
      <c r="D89" s="123">
        <v>36</v>
      </c>
      <c r="E89" s="231" t="s">
        <v>375</v>
      </c>
      <c r="F89" s="615" t="s">
        <v>17</v>
      </c>
      <c r="G89" s="616"/>
      <c r="H89" s="617"/>
      <c r="I89" s="281" t="s">
        <v>13</v>
      </c>
      <c r="J89" s="278"/>
      <c r="K89" s="279"/>
      <c r="L89" s="232" t="s">
        <v>14</v>
      </c>
      <c r="O89" s="130">
        <v>36</v>
      </c>
      <c r="P89" s="260" t="s">
        <v>52</v>
      </c>
      <c r="Q89" s="261"/>
      <c r="R89" s="262"/>
      <c r="S89" s="128">
        <f t="shared" si="11"/>
        <v>0</v>
      </c>
      <c r="T89" s="128"/>
      <c r="U89" s="128"/>
      <c r="V89" s="128"/>
      <c r="W89" s="128"/>
      <c r="X89" s="128"/>
      <c r="Y89" s="128"/>
      <c r="Z89" s="214">
        <f t="shared" si="9"/>
        <v>0</v>
      </c>
      <c r="AA89" s="215">
        <f t="shared" si="10"/>
        <v>0</v>
      </c>
    </row>
    <row r="90" spans="2:27" ht="15" customHeight="1" hidden="1" thickBot="1">
      <c r="B90" s="133">
        <v>12</v>
      </c>
      <c r="C90" s="120" t="s">
        <v>196</v>
      </c>
      <c r="D90" s="121">
        <v>37</v>
      </c>
      <c r="E90" s="225" t="s">
        <v>377</v>
      </c>
      <c r="F90" s="286" t="s">
        <v>15</v>
      </c>
      <c r="G90" s="270"/>
      <c r="H90" s="271"/>
      <c r="I90" s="456" t="s">
        <v>49</v>
      </c>
      <c r="J90" s="270"/>
      <c r="K90" s="271"/>
      <c r="L90" s="226" t="s">
        <v>321</v>
      </c>
      <c r="O90" s="129">
        <v>37</v>
      </c>
      <c r="P90" s="260" t="s">
        <v>232</v>
      </c>
      <c r="Q90" s="261"/>
      <c r="R90" s="262"/>
      <c r="S90" s="128">
        <f t="shared" si="11"/>
        <v>0</v>
      </c>
      <c r="T90" s="128"/>
      <c r="U90" s="128"/>
      <c r="V90" s="128"/>
      <c r="W90" s="128"/>
      <c r="X90" s="128"/>
      <c r="Y90" s="128"/>
      <c r="Z90" s="214">
        <f t="shared" si="9"/>
        <v>0</v>
      </c>
      <c r="AA90" s="215">
        <f t="shared" si="10"/>
        <v>0</v>
      </c>
    </row>
    <row r="91" spans="2:27" ht="15" customHeight="1" hidden="1" thickBot="1">
      <c r="B91" s="134">
        <v>12</v>
      </c>
      <c r="C91" s="93" t="s">
        <v>196</v>
      </c>
      <c r="D91" s="94">
        <v>38</v>
      </c>
      <c r="E91" s="227" t="s">
        <v>378</v>
      </c>
      <c r="F91" s="268" t="s">
        <v>50</v>
      </c>
      <c r="G91" s="272"/>
      <c r="H91" s="273"/>
      <c r="I91" s="457" t="s">
        <v>341</v>
      </c>
      <c r="J91" s="272"/>
      <c r="K91" s="273"/>
      <c r="L91" s="228" t="s">
        <v>16</v>
      </c>
      <c r="O91" s="130">
        <v>38</v>
      </c>
      <c r="P91" s="260" t="s">
        <v>43</v>
      </c>
      <c r="Q91" s="261"/>
      <c r="R91" s="262"/>
      <c r="S91" s="128">
        <f t="shared" si="11"/>
        <v>0</v>
      </c>
      <c r="T91" s="128"/>
      <c r="U91" s="128"/>
      <c r="V91" s="128"/>
      <c r="W91" s="128"/>
      <c r="X91" s="128"/>
      <c r="Y91" s="128"/>
      <c r="Z91" s="214">
        <f t="shared" si="9"/>
        <v>0</v>
      </c>
      <c r="AA91" s="215">
        <f t="shared" si="10"/>
        <v>0</v>
      </c>
    </row>
    <row r="92" spans="2:16" ht="15.75" customHeight="1" hidden="1">
      <c r="B92" s="134">
        <v>12</v>
      </c>
      <c r="C92" s="93" t="s">
        <v>197</v>
      </c>
      <c r="D92" s="94">
        <v>39</v>
      </c>
      <c r="E92" s="229" t="s">
        <v>379</v>
      </c>
      <c r="F92" s="287" t="s">
        <v>332</v>
      </c>
      <c r="G92" s="274"/>
      <c r="H92" s="275"/>
      <c r="I92" s="455" t="s">
        <v>28</v>
      </c>
      <c r="J92" s="274"/>
      <c r="K92" s="275"/>
      <c r="L92" s="228" t="s">
        <v>35</v>
      </c>
      <c r="O92" s="127"/>
      <c r="P92" s="127"/>
    </row>
    <row r="93" spans="2:26" ht="15.75" customHeight="1" hidden="1">
      <c r="B93" s="134">
        <v>12</v>
      </c>
      <c r="C93" s="93" t="s">
        <v>197</v>
      </c>
      <c r="D93" s="94">
        <v>40</v>
      </c>
      <c r="E93" s="229" t="s">
        <v>380</v>
      </c>
      <c r="F93" s="287" t="s">
        <v>339</v>
      </c>
      <c r="G93" s="274"/>
      <c r="H93" s="275"/>
      <c r="I93" s="455" t="s">
        <v>46</v>
      </c>
      <c r="J93" s="274"/>
      <c r="K93" s="275"/>
      <c r="L93" s="228" t="s">
        <v>61</v>
      </c>
      <c r="O93" s="127"/>
      <c r="P93" s="127"/>
      <c r="T93" s="459">
        <f aca="true" t="shared" si="12" ref="T93:Z93">SUM(T54:T91)</f>
        <v>0</v>
      </c>
      <c r="U93" s="459">
        <f t="shared" si="12"/>
        <v>0</v>
      </c>
      <c r="V93" s="564">
        <f t="shared" si="12"/>
        <v>0</v>
      </c>
      <c r="W93" s="459">
        <f t="shared" si="12"/>
        <v>0</v>
      </c>
      <c r="X93" s="459">
        <f t="shared" si="12"/>
        <v>0</v>
      </c>
      <c r="Y93" s="459">
        <f t="shared" si="12"/>
        <v>0</v>
      </c>
      <c r="Z93" s="459">
        <f t="shared" si="12"/>
        <v>0</v>
      </c>
    </row>
    <row r="94" spans="2:16" ht="15" customHeight="1" hidden="1">
      <c r="B94" s="134">
        <v>12</v>
      </c>
      <c r="C94" s="93" t="s">
        <v>198</v>
      </c>
      <c r="D94" s="94">
        <v>41</v>
      </c>
      <c r="E94" s="267" t="s">
        <v>381</v>
      </c>
      <c r="F94" s="288" t="s">
        <v>36</v>
      </c>
      <c r="G94" s="272"/>
      <c r="H94" s="273"/>
      <c r="I94" s="280" t="s">
        <v>322</v>
      </c>
      <c r="J94" s="272"/>
      <c r="K94" s="273"/>
      <c r="L94" s="228" t="s">
        <v>22</v>
      </c>
      <c r="O94" s="127"/>
      <c r="P94" s="127"/>
    </row>
    <row r="95" spans="2:16" ht="15" customHeight="1" hidden="1">
      <c r="B95" s="134">
        <v>12</v>
      </c>
      <c r="C95" s="93" t="s">
        <v>198</v>
      </c>
      <c r="D95" s="94">
        <v>42</v>
      </c>
      <c r="E95" s="227" t="s">
        <v>382</v>
      </c>
      <c r="F95" s="268" t="s">
        <v>34</v>
      </c>
      <c r="G95" s="272"/>
      <c r="H95" s="273"/>
      <c r="I95" s="457" t="s">
        <v>38</v>
      </c>
      <c r="J95" s="272"/>
      <c r="K95" s="273"/>
      <c r="L95" s="228" t="s">
        <v>103</v>
      </c>
      <c r="O95" s="127"/>
      <c r="P95" s="127"/>
    </row>
    <row r="96" spans="2:16" ht="15" customHeight="1" hidden="1">
      <c r="B96" s="134">
        <v>12</v>
      </c>
      <c r="C96" s="93" t="s">
        <v>199</v>
      </c>
      <c r="D96" s="94">
        <v>43</v>
      </c>
      <c r="E96" s="229" t="s">
        <v>383</v>
      </c>
      <c r="F96" s="287" t="s">
        <v>333</v>
      </c>
      <c r="G96" s="274"/>
      <c r="H96" s="275"/>
      <c r="I96" s="455" t="s">
        <v>11</v>
      </c>
      <c r="J96" s="274"/>
      <c r="K96" s="275"/>
      <c r="L96" s="228" t="s">
        <v>22</v>
      </c>
      <c r="O96" s="127"/>
      <c r="P96" s="127"/>
    </row>
    <row r="97" spans="2:16" ht="15" customHeight="1" hidden="1">
      <c r="B97" s="134">
        <v>12</v>
      </c>
      <c r="C97" s="93" t="s">
        <v>199</v>
      </c>
      <c r="D97" s="94">
        <v>44</v>
      </c>
      <c r="E97" s="229" t="s">
        <v>384</v>
      </c>
      <c r="F97" s="287" t="s">
        <v>33</v>
      </c>
      <c r="G97" s="274"/>
      <c r="H97" s="275"/>
      <c r="I97" s="455" t="s">
        <v>18</v>
      </c>
      <c r="J97" s="274"/>
      <c r="K97" s="275"/>
      <c r="L97" s="228" t="s">
        <v>14</v>
      </c>
      <c r="O97" s="127"/>
      <c r="P97" s="127"/>
    </row>
    <row r="98" spans="2:16" ht="15.75" customHeight="1" hidden="1">
      <c r="B98" s="134">
        <v>12</v>
      </c>
      <c r="C98" s="93" t="s">
        <v>200</v>
      </c>
      <c r="D98" s="94">
        <v>45</v>
      </c>
      <c r="E98" s="267" t="s">
        <v>385</v>
      </c>
      <c r="F98" s="269" t="s">
        <v>30</v>
      </c>
      <c r="G98" s="272"/>
      <c r="H98" s="273"/>
      <c r="I98" s="280" t="s">
        <v>41</v>
      </c>
      <c r="J98" s="272"/>
      <c r="K98" s="273"/>
      <c r="L98" s="228" t="s">
        <v>98</v>
      </c>
      <c r="O98" s="127"/>
      <c r="P98" s="127"/>
    </row>
    <row r="99" spans="2:16" ht="15" hidden="1">
      <c r="B99" s="134">
        <v>12</v>
      </c>
      <c r="C99" s="93" t="s">
        <v>200</v>
      </c>
      <c r="D99" s="94">
        <v>46</v>
      </c>
      <c r="E99" s="227" t="s">
        <v>386</v>
      </c>
      <c r="F99" s="268" t="s">
        <v>324</v>
      </c>
      <c r="G99" s="272"/>
      <c r="H99" s="273"/>
      <c r="I99" s="457" t="s">
        <v>353</v>
      </c>
      <c r="J99" s="272"/>
      <c r="K99" s="273"/>
      <c r="L99" s="228" t="s">
        <v>19</v>
      </c>
      <c r="O99" s="127"/>
      <c r="P99" s="127"/>
    </row>
    <row r="100" spans="2:16" ht="15" hidden="1">
      <c r="B100" s="134">
        <v>12</v>
      </c>
      <c r="C100" s="93" t="s">
        <v>201</v>
      </c>
      <c r="D100" s="94">
        <v>47</v>
      </c>
      <c r="E100" s="229" t="s">
        <v>387</v>
      </c>
      <c r="F100" s="287" t="s">
        <v>29</v>
      </c>
      <c r="G100" s="274"/>
      <c r="H100" s="275"/>
      <c r="I100" s="455" t="s">
        <v>320</v>
      </c>
      <c r="J100" s="274"/>
      <c r="K100" s="275"/>
      <c r="L100" s="228" t="s">
        <v>64</v>
      </c>
      <c r="O100" s="127"/>
      <c r="P100" s="127"/>
    </row>
    <row r="101" spans="2:16" ht="15" hidden="1">
      <c r="B101" s="134">
        <v>12</v>
      </c>
      <c r="C101" s="93" t="s">
        <v>201</v>
      </c>
      <c r="D101" s="94">
        <v>48</v>
      </c>
      <c r="E101" s="229" t="s">
        <v>388</v>
      </c>
      <c r="F101" s="287" t="s">
        <v>349</v>
      </c>
      <c r="G101" s="274"/>
      <c r="H101" s="275"/>
      <c r="I101" s="455" t="s">
        <v>127</v>
      </c>
      <c r="J101" s="274"/>
      <c r="K101" s="275"/>
      <c r="L101" s="228" t="s">
        <v>68</v>
      </c>
      <c r="O101" s="127"/>
      <c r="P101" s="127"/>
    </row>
    <row r="102" spans="2:16" ht="15" hidden="1">
      <c r="B102" s="134">
        <v>12</v>
      </c>
      <c r="C102" s="93" t="s">
        <v>202</v>
      </c>
      <c r="D102" s="94">
        <v>49</v>
      </c>
      <c r="E102" s="267" t="s">
        <v>389</v>
      </c>
      <c r="F102" s="269" t="s">
        <v>309</v>
      </c>
      <c r="G102" s="272"/>
      <c r="H102" s="273"/>
      <c r="I102" s="280" t="s">
        <v>323</v>
      </c>
      <c r="J102" s="272"/>
      <c r="K102" s="273"/>
      <c r="L102" s="228" t="s">
        <v>67</v>
      </c>
      <c r="O102" s="127"/>
      <c r="P102" s="127"/>
    </row>
    <row r="103" spans="2:16" ht="15" hidden="1">
      <c r="B103" s="134">
        <v>12</v>
      </c>
      <c r="C103" s="93" t="s">
        <v>202</v>
      </c>
      <c r="D103" s="94">
        <v>50</v>
      </c>
      <c r="E103" s="227" t="s">
        <v>390</v>
      </c>
      <c r="F103" s="268" t="s">
        <v>351</v>
      </c>
      <c r="G103" s="272"/>
      <c r="H103" s="273"/>
      <c r="I103" s="457" t="s">
        <v>308</v>
      </c>
      <c r="J103" s="272"/>
      <c r="K103" s="273"/>
      <c r="L103" s="228" t="s">
        <v>63</v>
      </c>
      <c r="O103" s="127"/>
      <c r="P103" s="127"/>
    </row>
    <row r="104" spans="2:16" ht="15" hidden="1">
      <c r="B104" s="134">
        <v>12</v>
      </c>
      <c r="C104" s="93" t="s">
        <v>203</v>
      </c>
      <c r="D104" s="94">
        <v>51</v>
      </c>
      <c r="E104" s="229" t="s">
        <v>391</v>
      </c>
      <c r="F104" s="287" t="s">
        <v>24</v>
      </c>
      <c r="G104" s="274"/>
      <c r="H104" s="275"/>
      <c r="I104" s="455" t="s">
        <v>124</v>
      </c>
      <c r="J104" s="274"/>
      <c r="K104" s="275"/>
      <c r="L104" s="228" t="s">
        <v>14</v>
      </c>
      <c r="O104" s="127"/>
      <c r="P104" s="127"/>
    </row>
    <row r="105" spans="2:16" ht="15.75" hidden="1" thickBot="1">
      <c r="B105" s="135">
        <v>12</v>
      </c>
      <c r="C105" s="112" t="s">
        <v>203</v>
      </c>
      <c r="D105" s="113">
        <v>52</v>
      </c>
      <c r="E105" s="229" t="s">
        <v>392</v>
      </c>
      <c r="F105" s="287" t="s">
        <v>348</v>
      </c>
      <c r="G105" s="284"/>
      <c r="H105" s="285"/>
      <c r="I105" s="455" t="s">
        <v>21</v>
      </c>
      <c r="J105" s="284"/>
      <c r="K105" s="285"/>
      <c r="L105" s="292" t="s">
        <v>22</v>
      </c>
      <c r="O105" s="127"/>
      <c r="P105" s="127"/>
    </row>
    <row r="106" spans="2:16" ht="15" hidden="1">
      <c r="B106" s="136">
        <v>13</v>
      </c>
      <c r="C106" s="120" t="s">
        <v>204</v>
      </c>
      <c r="D106" s="121">
        <v>53</v>
      </c>
      <c r="E106" s="225" t="s">
        <v>393</v>
      </c>
      <c r="F106" s="286" t="s">
        <v>49</v>
      </c>
      <c r="G106" s="270"/>
      <c r="H106" s="271"/>
      <c r="I106" s="456" t="s">
        <v>50</v>
      </c>
      <c r="J106" s="270"/>
      <c r="K106" s="271"/>
      <c r="L106" s="226" t="s">
        <v>26</v>
      </c>
      <c r="O106" s="127"/>
      <c r="P106" s="127"/>
    </row>
    <row r="107" spans="2:16" ht="15" hidden="1">
      <c r="B107" s="134">
        <v>13</v>
      </c>
      <c r="C107" s="93" t="s">
        <v>205</v>
      </c>
      <c r="D107" s="94">
        <v>54</v>
      </c>
      <c r="E107" s="229" t="s">
        <v>394</v>
      </c>
      <c r="F107" s="287" t="s">
        <v>15</v>
      </c>
      <c r="G107" s="274"/>
      <c r="H107" s="275"/>
      <c r="I107" s="455" t="s">
        <v>341</v>
      </c>
      <c r="J107" s="274"/>
      <c r="K107" s="275"/>
      <c r="L107" s="228" t="s">
        <v>65</v>
      </c>
      <c r="O107" s="127"/>
      <c r="P107" s="127"/>
    </row>
    <row r="108" spans="2:16" ht="15" hidden="1">
      <c r="B108" s="134">
        <v>13</v>
      </c>
      <c r="C108" s="93" t="s">
        <v>206</v>
      </c>
      <c r="D108" s="94">
        <v>55</v>
      </c>
      <c r="E108" s="227" t="s">
        <v>395</v>
      </c>
      <c r="F108" s="268" t="s">
        <v>332</v>
      </c>
      <c r="G108" s="272"/>
      <c r="H108" s="273"/>
      <c r="I108" s="457" t="s">
        <v>46</v>
      </c>
      <c r="J108" s="272"/>
      <c r="K108" s="273"/>
      <c r="L108" s="228" t="s">
        <v>35</v>
      </c>
      <c r="O108" s="127"/>
      <c r="P108" s="127"/>
    </row>
    <row r="109" spans="2:16" ht="15" hidden="1">
      <c r="B109" s="134">
        <v>13</v>
      </c>
      <c r="C109" s="93" t="s">
        <v>207</v>
      </c>
      <c r="D109" s="94">
        <v>56</v>
      </c>
      <c r="E109" s="229" t="s">
        <v>396</v>
      </c>
      <c r="F109" s="287" t="s">
        <v>28</v>
      </c>
      <c r="G109" s="274"/>
      <c r="H109" s="275"/>
      <c r="I109" s="455" t="s">
        <v>339</v>
      </c>
      <c r="J109" s="274"/>
      <c r="K109" s="275"/>
      <c r="L109" s="228" t="s">
        <v>64</v>
      </c>
      <c r="O109" s="127"/>
      <c r="P109" s="127"/>
    </row>
    <row r="110" spans="2:16" ht="15" hidden="1">
      <c r="B110" s="134">
        <v>13</v>
      </c>
      <c r="C110" s="93" t="s">
        <v>208</v>
      </c>
      <c r="D110" s="94">
        <v>57</v>
      </c>
      <c r="E110" s="227" t="s">
        <v>397</v>
      </c>
      <c r="F110" s="268" t="s">
        <v>322</v>
      </c>
      <c r="G110" s="272"/>
      <c r="H110" s="273"/>
      <c r="I110" s="457" t="s">
        <v>38</v>
      </c>
      <c r="J110" s="272"/>
      <c r="K110" s="273"/>
      <c r="L110" s="228" t="s">
        <v>35</v>
      </c>
      <c r="O110" s="127"/>
      <c r="P110" s="127"/>
    </row>
    <row r="111" spans="2:16" ht="15" hidden="1">
      <c r="B111" s="134">
        <v>13</v>
      </c>
      <c r="C111" s="93" t="s">
        <v>209</v>
      </c>
      <c r="D111" s="94">
        <v>58</v>
      </c>
      <c r="E111" s="229" t="s">
        <v>398</v>
      </c>
      <c r="F111" s="287" t="s">
        <v>36</v>
      </c>
      <c r="G111" s="274"/>
      <c r="H111" s="275"/>
      <c r="I111" s="455" t="s">
        <v>34</v>
      </c>
      <c r="J111" s="274"/>
      <c r="K111" s="275"/>
      <c r="L111" s="228" t="s">
        <v>22</v>
      </c>
      <c r="O111" s="127"/>
      <c r="P111" s="127"/>
    </row>
    <row r="112" spans="2:16" ht="15" hidden="1">
      <c r="B112" s="134">
        <v>13</v>
      </c>
      <c r="C112" s="93" t="s">
        <v>210</v>
      </c>
      <c r="D112" s="94">
        <v>59</v>
      </c>
      <c r="E112" s="227" t="s">
        <v>399</v>
      </c>
      <c r="F112" s="268" t="s">
        <v>11</v>
      </c>
      <c r="G112" s="272"/>
      <c r="H112" s="273"/>
      <c r="I112" s="457" t="s">
        <v>33</v>
      </c>
      <c r="J112" s="272"/>
      <c r="K112" s="273"/>
      <c r="L112" s="228" t="s">
        <v>319</v>
      </c>
      <c r="O112" s="127"/>
      <c r="P112" s="127"/>
    </row>
    <row r="113" spans="2:16" ht="15" hidden="1">
      <c r="B113" s="134">
        <v>13</v>
      </c>
      <c r="C113" s="93" t="s">
        <v>211</v>
      </c>
      <c r="D113" s="94">
        <v>60</v>
      </c>
      <c r="E113" s="229" t="s">
        <v>400</v>
      </c>
      <c r="F113" s="287" t="s">
        <v>333</v>
      </c>
      <c r="G113" s="274"/>
      <c r="H113" s="275"/>
      <c r="I113" s="455" t="s">
        <v>18</v>
      </c>
      <c r="J113" s="274"/>
      <c r="K113" s="275"/>
      <c r="L113" s="228" t="s">
        <v>376</v>
      </c>
      <c r="O113" s="127"/>
      <c r="P113" s="127"/>
    </row>
    <row r="114" spans="2:15" ht="15" hidden="1">
      <c r="B114" s="134">
        <v>13</v>
      </c>
      <c r="C114" s="93" t="s">
        <v>212</v>
      </c>
      <c r="D114" s="94">
        <v>61</v>
      </c>
      <c r="E114" s="227" t="s">
        <v>401</v>
      </c>
      <c r="F114" s="268" t="s">
        <v>41</v>
      </c>
      <c r="G114" s="272"/>
      <c r="H114" s="273"/>
      <c r="I114" s="457" t="s">
        <v>353</v>
      </c>
      <c r="J114" s="272"/>
      <c r="K114" s="273"/>
      <c r="L114" s="228" t="s">
        <v>99</v>
      </c>
      <c r="O114" s="127"/>
    </row>
    <row r="115" spans="2:15" ht="15" hidden="1">
      <c r="B115" s="134">
        <v>13</v>
      </c>
      <c r="C115" s="93" t="s">
        <v>213</v>
      </c>
      <c r="D115" s="94">
        <v>62</v>
      </c>
      <c r="E115" s="229" t="s">
        <v>402</v>
      </c>
      <c r="F115" s="287" t="s">
        <v>30</v>
      </c>
      <c r="G115" s="274"/>
      <c r="H115" s="275"/>
      <c r="I115" s="455" t="s">
        <v>324</v>
      </c>
      <c r="J115" s="274"/>
      <c r="K115" s="275"/>
      <c r="L115" s="228" t="s">
        <v>40</v>
      </c>
      <c r="O115" s="127"/>
    </row>
    <row r="116" spans="2:15" ht="15" hidden="1">
      <c r="B116" s="134">
        <v>13</v>
      </c>
      <c r="C116" s="93" t="s">
        <v>214</v>
      </c>
      <c r="D116" s="94">
        <v>63</v>
      </c>
      <c r="E116" s="227" t="s">
        <v>403</v>
      </c>
      <c r="F116" s="268" t="s">
        <v>320</v>
      </c>
      <c r="G116" s="272"/>
      <c r="H116" s="273"/>
      <c r="I116" s="457" t="s">
        <v>127</v>
      </c>
      <c r="J116" s="272"/>
      <c r="K116" s="273"/>
      <c r="L116" s="228" t="s">
        <v>409</v>
      </c>
      <c r="O116" s="127"/>
    </row>
    <row r="117" spans="2:15" ht="15" hidden="1">
      <c r="B117" s="134">
        <v>13</v>
      </c>
      <c r="C117" s="93" t="s">
        <v>215</v>
      </c>
      <c r="D117" s="94">
        <v>64</v>
      </c>
      <c r="E117" s="229" t="s">
        <v>404</v>
      </c>
      <c r="F117" s="287" t="s">
        <v>29</v>
      </c>
      <c r="G117" s="274"/>
      <c r="H117" s="275"/>
      <c r="I117" s="455" t="s">
        <v>349</v>
      </c>
      <c r="J117" s="274"/>
      <c r="K117" s="275"/>
      <c r="L117" s="228" t="s">
        <v>59</v>
      </c>
      <c r="O117" s="127"/>
    </row>
    <row r="118" spans="2:15" ht="15" hidden="1">
      <c r="B118" s="134">
        <v>13</v>
      </c>
      <c r="C118" s="93" t="s">
        <v>216</v>
      </c>
      <c r="D118" s="94">
        <v>65</v>
      </c>
      <c r="E118" s="227" t="s">
        <v>405</v>
      </c>
      <c r="F118" s="268" t="s">
        <v>309</v>
      </c>
      <c r="G118" s="272"/>
      <c r="H118" s="273"/>
      <c r="I118" s="457" t="s">
        <v>308</v>
      </c>
      <c r="J118" s="272"/>
      <c r="K118" s="273"/>
      <c r="L118" s="228" t="s">
        <v>51</v>
      </c>
      <c r="O118" s="127"/>
    </row>
    <row r="119" spans="2:15" ht="15" hidden="1">
      <c r="B119" s="134">
        <v>13</v>
      </c>
      <c r="C119" s="93" t="s">
        <v>217</v>
      </c>
      <c r="D119" s="94">
        <v>66</v>
      </c>
      <c r="E119" s="229" t="s">
        <v>406</v>
      </c>
      <c r="F119" s="287" t="s">
        <v>323</v>
      </c>
      <c r="G119" s="274"/>
      <c r="H119" s="275"/>
      <c r="I119" s="455" t="s">
        <v>351</v>
      </c>
      <c r="J119" s="274"/>
      <c r="K119" s="275"/>
      <c r="L119" s="228" t="s">
        <v>12</v>
      </c>
      <c r="O119" s="127"/>
    </row>
    <row r="120" spans="2:15" ht="15" hidden="1">
      <c r="B120" s="134">
        <v>13</v>
      </c>
      <c r="C120" s="93" t="s">
        <v>218</v>
      </c>
      <c r="D120" s="94">
        <v>67</v>
      </c>
      <c r="E120" s="227" t="s">
        <v>407</v>
      </c>
      <c r="F120" s="268" t="s">
        <v>24</v>
      </c>
      <c r="G120" s="272"/>
      <c r="H120" s="273"/>
      <c r="I120" s="457" t="s">
        <v>21</v>
      </c>
      <c r="J120" s="272"/>
      <c r="K120" s="273"/>
      <c r="L120" s="228" t="s">
        <v>102</v>
      </c>
      <c r="O120" s="127"/>
    </row>
    <row r="121" spans="2:15" ht="15.75" hidden="1" thickBot="1">
      <c r="B121" s="135">
        <v>13</v>
      </c>
      <c r="C121" s="112" t="s">
        <v>219</v>
      </c>
      <c r="D121" s="113">
        <v>68</v>
      </c>
      <c r="E121" s="289" t="s">
        <v>408</v>
      </c>
      <c r="F121" s="290" t="s">
        <v>124</v>
      </c>
      <c r="G121" s="284"/>
      <c r="H121" s="285"/>
      <c r="I121" s="291" t="s">
        <v>348</v>
      </c>
      <c r="J121" s="284"/>
      <c r="K121" s="285"/>
      <c r="L121" s="292" t="s">
        <v>376</v>
      </c>
      <c r="O121" s="127"/>
    </row>
    <row r="122" ht="15" hidden="1"/>
    <row r="123" ht="15" hidden="1">
      <c r="C123" s="125" t="s">
        <v>220</v>
      </c>
    </row>
    <row r="124" spans="3:13" ht="15.75" hidden="1" thickBot="1">
      <c r="C124" s="72" t="s">
        <v>1</v>
      </c>
      <c r="D124" s="71" t="s">
        <v>221</v>
      </c>
      <c r="E124" s="75" t="s">
        <v>2</v>
      </c>
      <c r="F124" s="71" t="s">
        <v>3</v>
      </c>
      <c r="G124" s="73" t="s">
        <v>4</v>
      </c>
      <c r="H124" s="72" t="s">
        <v>5</v>
      </c>
      <c r="I124" s="76" t="s">
        <v>6</v>
      </c>
      <c r="J124" s="39" t="s">
        <v>7</v>
      </c>
      <c r="K124" s="77" t="s">
        <v>222</v>
      </c>
      <c r="L124" s="72" t="s">
        <v>8</v>
      </c>
      <c r="M124" s="44" t="s">
        <v>9</v>
      </c>
    </row>
    <row r="125" spans="3:13" ht="15" hidden="1">
      <c r="C125" s="221" t="s">
        <v>314</v>
      </c>
      <c r="D125" s="223"/>
      <c r="E125" s="224">
        <f aca="true" t="shared" si="13" ref="E125:E161">F125+G125+H125+I125</f>
        <v>23</v>
      </c>
      <c r="F125" s="224">
        <f aca="true" t="shared" si="14" ref="F125:F161">VLOOKUP($C125,$C$13:$S$50,13,0)+VLOOKUP($C125,$P$54:$AA$90,5,0)</f>
        <v>3</v>
      </c>
      <c r="G125" s="224">
        <f aca="true" t="shared" si="15" ref="G125:G161">VLOOKUP($C125,$C$13:$S$50,14,0)+VLOOKUP($C125,$P$54:$AA$90,6,0)</f>
        <v>0</v>
      </c>
      <c r="H125" s="224">
        <f aca="true" t="shared" si="16" ref="H125:H161">VLOOKUP($C125,$C$13:$S$50,15,0)+VLOOKUP($C125,$P$54:$AA$90,7,0)</f>
        <v>9</v>
      </c>
      <c r="I125" s="224">
        <f aca="true" t="shared" si="17" ref="I125:I161">VLOOKUP($C125,$C$13:$S$50,16,0)+VLOOKUP($C125,$P$54:$AA$90,8,0)</f>
        <v>11</v>
      </c>
      <c r="J125" s="283">
        <f aca="true" t="shared" si="18" ref="J125:J161">VLOOKUP($C125,$C$13:$S$50,17,0)+VLOOKUP($C125,$P$54:$AA$90,9,0)</f>
        <v>-2</v>
      </c>
      <c r="K125" s="224" t="e">
        <f aca="true" t="shared" si="19" ref="K125:K161">VLOOKUP($C125,$C$13:$S$50,18,0)+VLOOKUP($C125,$P$54:$AA$90,10,0)</f>
        <v>#REF!</v>
      </c>
      <c r="L125" s="224" t="e">
        <f aca="true" t="shared" si="20" ref="L125:L161">J125-K125</f>
        <v>#REF!</v>
      </c>
      <c r="M125" s="224">
        <f aca="true" t="shared" si="21" ref="M125:M161">F125*3+G125</f>
        <v>9</v>
      </c>
    </row>
    <row r="126" spans="3:13" ht="15" hidden="1">
      <c r="C126" s="221" t="s">
        <v>306</v>
      </c>
      <c r="D126" s="223"/>
      <c r="E126" s="224">
        <f t="shared" si="13"/>
        <v>26</v>
      </c>
      <c r="F126" s="224">
        <f t="shared" si="14"/>
        <v>2</v>
      </c>
      <c r="G126" s="224">
        <f t="shared" si="15"/>
        <v>0</v>
      </c>
      <c r="H126" s="224">
        <f t="shared" si="16"/>
        <v>15</v>
      </c>
      <c r="I126" s="224">
        <f t="shared" si="17"/>
        <v>9</v>
      </c>
      <c r="J126" s="283">
        <f t="shared" si="18"/>
        <v>6</v>
      </c>
      <c r="K126" s="224" t="e">
        <f t="shared" si="19"/>
        <v>#REF!</v>
      </c>
      <c r="L126" s="224" t="e">
        <f t="shared" si="20"/>
        <v>#REF!</v>
      </c>
      <c r="M126" s="224">
        <f t="shared" si="21"/>
        <v>6</v>
      </c>
    </row>
    <row r="127" spans="3:13" ht="15" hidden="1">
      <c r="C127" s="222" t="s">
        <v>235</v>
      </c>
      <c r="D127" s="223"/>
      <c r="E127" s="224">
        <f t="shared" si="13"/>
        <v>20</v>
      </c>
      <c r="F127" s="224">
        <f t="shared" si="14"/>
        <v>2</v>
      </c>
      <c r="G127" s="224">
        <f t="shared" si="15"/>
        <v>0</v>
      </c>
      <c r="H127" s="224">
        <f t="shared" si="16"/>
        <v>8</v>
      </c>
      <c r="I127" s="224">
        <f t="shared" si="17"/>
        <v>10</v>
      </c>
      <c r="J127" s="283">
        <f t="shared" si="18"/>
        <v>-2</v>
      </c>
      <c r="K127" s="224" t="e">
        <f t="shared" si="19"/>
        <v>#REF!</v>
      </c>
      <c r="L127" s="224" t="e">
        <f t="shared" si="20"/>
        <v>#REF!</v>
      </c>
      <c r="M127" s="224">
        <f t="shared" si="21"/>
        <v>6</v>
      </c>
    </row>
    <row r="128" spans="3:13" ht="15" hidden="1">
      <c r="C128" s="221" t="s">
        <v>15</v>
      </c>
      <c r="D128" s="223"/>
      <c r="E128" s="224">
        <f t="shared" si="13"/>
        <v>31</v>
      </c>
      <c r="F128" s="224">
        <f t="shared" si="14"/>
        <v>2</v>
      </c>
      <c r="G128" s="224">
        <f t="shared" si="15"/>
        <v>0</v>
      </c>
      <c r="H128" s="224">
        <f t="shared" si="16"/>
        <v>19</v>
      </c>
      <c r="I128" s="224">
        <f t="shared" si="17"/>
        <v>10</v>
      </c>
      <c r="J128" s="283">
        <f t="shared" si="18"/>
        <v>9</v>
      </c>
      <c r="K128" s="224" t="e">
        <f t="shared" si="19"/>
        <v>#REF!</v>
      </c>
      <c r="L128" s="224" t="e">
        <f t="shared" si="20"/>
        <v>#REF!</v>
      </c>
      <c r="M128" s="224">
        <f t="shared" si="21"/>
        <v>6</v>
      </c>
    </row>
    <row r="129" spans="3:13" ht="15" hidden="1">
      <c r="C129" s="221" t="s">
        <v>325</v>
      </c>
      <c r="D129" s="223"/>
      <c r="E129" s="224">
        <f t="shared" si="13"/>
        <v>18</v>
      </c>
      <c r="F129" s="224">
        <f t="shared" si="14"/>
        <v>1</v>
      </c>
      <c r="G129" s="224">
        <f t="shared" si="15"/>
        <v>0</v>
      </c>
      <c r="H129" s="224">
        <f t="shared" si="16"/>
        <v>11</v>
      </c>
      <c r="I129" s="224">
        <f t="shared" si="17"/>
        <v>6</v>
      </c>
      <c r="J129" s="283">
        <f t="shared" si="18"/>
        <v>5</v>
      </c>
      <c r="K129" s="224" t="e">
        <f t="shared" si="19"/>
        <v>#REF!</v>
      </c>
      <c r="L129" s="224" t="e">
        <f t="shared" si="20"/>
        <v>#REF!</v>
      </c>
      <c r="M129" s="224">
        <f t="shared" si="21"/>
        <v>3</v>
      </c>
    </row>
    <row r="130" spans="3:13" ht="15" hidden="1">
      <c r="C130" s="221" t="s">
        <v>311</v>
      </c>
      <c r="D130" s="223"/>
      <c r="E130" s="224">
        <f t="shared" si="13"/>
        <v>16</v>
      </c>
      <c r="F130" s="224">
        <f t="shared" si="14"/>
        <v>1</v>
      </c>
      <c r="G130" s="224">
        <f t="shared" si="15"/>
        <v>0</v>
      </c>
      <c r="H130" s="224">
        <f t="shared" si="16"/>
        <v>9</v>
      </c>
      <c r="I130" s="224">
        <f t="shared" si="17"/>
        <v>6</v>
      </c>
      <c r="J130" s="283">
        <f t="shared" si="18"/>
        <v>3</v>
      </c>
      <c r="K130" s="224" t="e">
        <f t="shared" si="19"/>
        <v>#REF!</v>
      </c>
      <c r="L130" s="224" t="e">
        <f t="shared" si="20"/>
        <v>#REF!</v>
      </c>
      <c r="M130" s="224">
        <f t="shared" si="21"/>
        <v>3</v>
      </c>
    </row>
    <row r="131" spans="3:13" ht="15" hidden="1">
      <c r="C131" s="222" t="s">
        <v>116</v>
      </c>
      <c r="D131" s="223"/>
      <c r="E131" s="224">
        <f t="shared" si="13"/>
        <v>23</v>
      </c>
      <c r="F131" s="224">
        <f t="shared" si="14"/>
        <v>4</v>
      </c>
      <c r="G131" s="224">
        <f t="shared" si="15"/>
        <v>0</v>
      </c>
      <c r="H131" s="224">
        <f t="shared" si="16"/>
        <v>10</v>
      </c>
      <c r="I131" s="224">
        <f t="shared" si="17"/>
        <v>9</v>
      </c>
      <c r="J131" s="283">
        <f t="shared" si="18"/>
        <v>1</v>
      </c>
      <c r="K131" s="224" t="e">
        <f t="shared" si="19"/>
        <v>#REF!</v>
      </c>
      <c r="L131" s="224" t="e">
        <f t="shared" si="20"/>
        <v>#REF!</v>
      </c>
      <c r="M131" s="224">
        <f t="shared" si="21"/>
        <v>12</v>
      </c>
    </row>
    <row r="132" spans="3:13" ht="15" hidden="1">
      <c r="C132" s="222" t="s">
        <v>28</v>
      </c>
      <c r="D132" s="223"/>
      <c r="E132" s="224">
        <f t="shared" si="13"/>
        <v>29</v>
      </c>
      <c r="F132" s="224">
        <f t="shared" si="14"/>
        <v>3</v>
      </c>
      <c r="G132" s="224">
        <f t="shared" si="15"/>
        <v>0</v>
      </c>
      <c r="H132" s="224">
        <f t="shared" si="16"/>
        <v>11</v>
      </c>
      <c r="I132" s="224">
        <f t="shared" si="17"/>
        <v>15</v>
      </c>
      <c r="J132" s="283">
        <f t="shared" si="18"/>
        <v>-4</v>
      </c>
      <c r="K132" s="224" t="e">
        <f t="shared" si="19"/>
        <v>#REF!</v>
      </c>
      <c r="L132" s="224" t="e">
        <f t="shared" si="20"/>
        <v>#REF!</v>
      </c>
      <c r="M132" s="224">
        <f t="shared" si="21"/>
        <v>9</v>
      </c>
    </row>
    <row r="133" spans="3:13" ht="15" hidden="1">
      <c r="C133" s="221" t="s">
        <v>322</v>
      </c>
      <c r="D133" s="223"/>
      <c r="E133" s="224">
        <f t="shared" si="13"/>
        <v>24</v>
      </c>
      <c r="F133" s="224">
        <f t="shared" si="14"/>
        <v>1</v>
      </c>
      <c r="G133" s="224">
        <f t="shared" si="15"/>
        <v>0</v>
      </c>
      <c r="H133" s="224">
        <f t="shared" si="16"/>
        <v>15</v>
      </c>
      <c r="I133" s="224">
        <f t="shared" si="17"/>
        <v>8</v>
      </c>
      <c r="J133" s="283">
        <f t="shared" si="18"/>
        <v>7</v>
      </c>
      <c r="K133" s="224" t="e">
        <f t="shared" si="19"/>
        <v>#REF!</v>
      </c>
      <c r="L133" s="224" t="e">
        <f t="shared" si="20"/>
        <v>#REF!</v>
      </c>
      <c r="M133" s="224">
        <f t="shared" si="21"/>
        <v>3</v>
      </c>
    </row>
    <row r="134" spans="3:13" ht="15" hidden="1">
      <c r="C134" s="221" t="s">
        <v>302</v>
      </c>
      <c r="D134" s="223"/>
      <c r="E134" s="224">
        <f t="shared" si="13"/>
        <v>25</v>
      </c>
      <c r="F134" s="224">
        <f t="shared" si="14"/>
        <v>4</v>
      </c>
      <c r="G134" s="224">
        <f t="shared" si="15"/>
        <v>0</v>
      </c>
      <c r="H134" s="224">
        <f t="shared" si="16"/>
        <v>3</v>
      </c>
      <c r="I134" s="224">
        <f t="shared" si="17"/>
        <v>18</v>
      </c>
      <c r="J134" s="283">
        <f t="shared" si="18"/>
        <v>-15</v>
      </c>
      <c r="K134" s="224" t="e">
        <f t="shared" si="19"/>
        <v>#REF!</v>
      </c>
      <c r="L134" s="224" t="e">
        <f t="shared" si="20"/>
        <v>#REF!</v>
      </c>
      <c r="M134" s="224">
        <f t="shared" si="21"/>
        <v>12</v>
      </c>
    </row>
    <row r="135" spans="3:13" ht="15" hidden="1">
      <c r="C135" s="221" t="s">
        <v>34</v>
      </c>
      <c r="D135" s="223"/>
      <c r="E135" s="224">
        <f t="shared" si="13"/>
        <v>26</v>
      </c>
      <c r="F135" s="224">
        <f t="shared" si="14"/>
        <v>4</v>
      </c>
      <c r="G135" s="224">
        <f t="shared" si="15"/>
        <v>0</v>
      </c>
      <c r="H135" s="224">
        <f t="shared" si="16"/>
        <v>10</v>
      </c>
      <c r="I135" s="224">
        <f t="shared" si="17"/>
        <v>12</v>
      </c>
      <c r="J135" s="283">
        <f t="shared" si="18"/>
        <v>-2</v>
      </c>
      <c r="K135" s="224" t="e">
        <f t="shared" si="19"/>
        <v>#REF!</v>
      </c>
      <c r="L135" s="224" t="e">
        <f t="shared" si="20"/>
        <v>#REF!</v>
      </c>
      <c r="M135" s="224">
        <f t="shared" si="21"/>
        <v>12</v>
      </c>
    </row>
    <row r="136" spans="3:13" ht="15" hidden="1">
      <c r="C136" s="221" t="s">
        <v>36</v>
      </c>
      <c r="D136" s="223"/>
      <c r="E136" s="224" t="e">
        <f t="shared" si="13"/>
        <v>#N/A</v>
      </c>
      <c r="F136" s="224" t="e">
        <f t="shared" si="14"/>
        <v>#N/A</v>
      </c>
      <c r="G136" s="224" t="e">
        <f t="shared" si="15"/>
        <v>#N/A</v>
      </c>
      <c r="H136" s="224" t="e">
        <f t="shared" si="16"/>
        <v>#N/A</v>
      </c>
      <c r="I136" s="224" t="e">
        <f t="shared" si="17"/>
        <v>#N/A</v>
      </c>
      <c r="J136" s="283" t="e">
        <f t="shared" si="18"/>
        <v>#N/A</v>
      </c>
      <c r="K136" s="224" t="e">
        <f t="shared" si="19"/>
        <v>#N/A</v>
      </c>
      <c r="L136" s="224" t="e">
        <f t="shared" si="20"/>
        <v>#N/A</v>
      </c>
      <c r="M136" s="224" t="e">
        <f t="shared" si="21"/>
        <v>#N/A</v>
      </c>
    </row>
    <row r="137" spans="3:13" ht="15" hidden="1">
      <c r="C137" s="221" t="s">
        <v>33</v>
      </c>
      <c r="D137" s="223"/>
      <c r="E137" s="224" t="e">
        <f t="shared" si="13"/>
        <v>#N/A</v>
      </c>
      <c r="F137" s="224" t="e">
        <f t="shared" si="14"/>
        <v>#N/A</v>
      </c>
      <c r="G137" s="224" t="e">
        <f t="shared" si="15"/>
        <v>#N/A</v>
      </c>
      <c r="H137" s="224" t="e">
        <f t="shared" si="16"/>
        <v>#N/A</v>
      </c>
      <c r="I137" s="224" t="e">
        <f t="shared" si="17"/>
        <v>#N/A</v>
      </c>
      <c r="J137" s="283" t="e">
        <f t="shared" si="18"/>
        <v>#N/A</v>
      </c>
      <c r="K137" s="224" t="e">
        <f t="shared" si="19"/>
        <v>#N/A</v>
      </c>
      <c r="L137" s="224" t="e">
        <f t="shared" si="20"/>
        <v>#N/A</v>
      </c>
      <c r="M137" s="224" t="e">
        <f t="shared" si="21"/>
        <v>#N/A</v>
      </c>
    </row>
    <row r="138" spans="3:13" ht="15" hidden="1">
      <c r="C138" s="221" t="s">
        <v>304</v>
      </c>
      <c r="D138" s="223"/>
      <c r="E138" s="224">
        <f t="shared" si="13"/>
        <v>23</v>
      </c>
      <c r="F138" s="224">
        <f t="shared" si="14"/>
        <v>5</v>
      </c>
      <c r="G138" s="224">
        <f t="shared" si="15"/>
        <v>0</v>
      </c>
      <c r="H138" s="224">
        <f t="shared" si="16"/>
        <v>7</v>
      </c>
      <c r="I138" s="224">
        <f t="shared" si="17"/>
        <v>11</v>
      </c>
      <c r="J138" s="283">
        <f t="shared" si="18"/>
        <v>-4</v>
      </c>
      <c r="K138" s="224" t="e">
        <f t="shared" si="19"/>
        <v>#REF!</v>
      </c>
      <c r="L138" s="224" t="e">
        <f t="shared" si="20"/>
        <v>#REF!</v>
      </c>
      <c r="M138" s="224">
        <f t="shared" si="21"/>
        <v>15</v>
      </c>
    </row>
    <row r="139" spans="3:13" ht="15" hidden="1">
      <c r="C139" s="221" t="s">
        <v>310</v>
      </c>
      <c r="D139" s="223"/>
      <c r="E139" s="224">
        <f t="shared" si="13"/>
        <v>29</v>
      </c>
      <c r="F139" s="224">
        <f t="shared" si="14"/>
        <v>3</v>
      </c>
      <c r="G139" s="224">
        <f t="shared" si="15"/>
        <v>1</v>
      </c>
      <c r="H139" s="224">
        <f t="shared" si="16"/>
        <v>12</v>
      </c>
      <c r="I139" s="224">
        <f t="shared" si="17"/>
        <v>13</v>
      </c>
      <c r="J139" s="283">
        <f t="shared" si="18"/>
        <v>-1</v>
      </c>
      <c r="K139" s="224" t="e">
        <f t="shared" si="19"/>
        <v>#REF!</v>
      </c>
      <c r="L139" s="224" t="e">
        <f t="shared" si="20"/>
        <v>#REF!</v>
      </c>
      <c r="M139" s="224">
        <f t="shared" si="21"/>
        <v>10</v>
      </c>
    </row>
    <row r="140" spans="3:13" ht="15" hidden="1">
      <c r="C140" s="221" t="s">
        <v>327</v>
      </c>
      <c r="D140" s="223"/>
      <c r="E140" s="224">
        <f t="shared" si="13"/>
        <v>25</v>
      </c>
      <c r="F140" s="224">
        <f t="shared" si="14"/>
        <v>3</v>
      </c>
      <c r="G140" s="224">
        <f t="shared" si="15"/>
        <v>0</v>
      </c>
      <c r="H140" s="224">
        <f t="shared" si="16"/>
        <v>11</v>
      </c>
      <c r="I140" s="224">
        <f t="shared" si="17"/>
        <v>11</v>
      </c>
      <c r="J140" s="283">
        <f t="shared" si="18"/>
        <v>0</v>
      </c>
      <c r="K140" s="224" t="e">
        <f t="shared" si="19"/>
        <v>#REF!</v>
      </c>
      <c r="L140" s="224" t="e">
        <f t="shared" si="20"/>
        <v>#REF!</v>
      </c>
      <c r="M140" s="224">
        <f t="shared" si="21"/>
        <v>9</v>
      </c>
    </row>
    <row r="141" spans="3:13" ht="15" hidden="1">
      <c r="C141" s="459" t="s">
        <v>316</v>
      </c>
      <c r="D141" s="223"/>
      <c r="E141" s="224" t="e">
        <f t="shared" si="13"/>
        <v>#N/A</v>
      </c>
      <c r="F141" s="224" t="e">
        <f t="shared" si="14"/>
        <v>#N/A</v>
      </c>
      <c r="G141" s="224" t="e">
        <f t="shared" si="15"/>
        <v>#N/A</v>
      </c>
      <c r="H141" s="224" t="e">
        <f t="shared" si="16"/>
        <v>#N/A</v>
      </c>
      <c r="I141" s="224" t="e">
        <f t="shared" si="17"/>
        <v>#N/A</v>
      </c>
      <c r="J141" s="283" t="e">
        <f t="shared" si="18"/>
        <v>#N/A</v>
      </c>
      <c r="K141" s="224" t="e">
        <f t="shared" si="19"/>
        <v>#N/A</v>
      </c>
      <c r="L141" s="224" t="e">
        <f t="shared" si="20"/>
        <v>#N/A</v>
      </c>
      <c r="M141" s="224" t="e">
        <f t="shared" si="21"/>
        <v>#N/A</v>
      </c>
    </row>
    <row r="142" spans="3:13" ht="15" hidden="1">
      <c r="C142" s="459" t="s">
        <v>329</v>
      </c>
      <c r="D142" s="223"/>
      <c r="E142" s="224" t="e">
        <f t="shared" si="13"/>
        <v>#N/A</v>
      </c>
      <c r="F142" s="224" t="e">
        <f t="shared" si="14"/>
        <v>#N/A</v>
      </c>
      <c r="G142" s="224" t="e">
        <f t="shared" si="15"/>
        <v>#N/A</v>
      </c>
      <c r="H142" s="224" t="e">
        <f t="shared" si="16"/>
        <v>#N/A</v>
      </c>
      <c r="I142" s="224" t="e">
        <f t="shared" si="17"/>
        <v>#N/A</v>
      </c>
      <c r="J142" s="283" t="e">
        <f t="shared" si="18"/>
        <v>#N/A</v>
      </c>
      <c r="K142" s="224" t="e">
        <f t="shared" si="19"/>
        <v>#N/A</v>
      </c>
      <c r="L142" s="224" t="e">
        <f t="shared" si="20"/>
        <v>#N/A</v>
      </c>
      <c r="M142" s="224" t="e">
        <f t="shared" si="21"/>
        <v>#N/A</v>
      </c>
    </row>
    <row r="143" spans="3:13" ht="15" hidden="1">
      <c r="C143" s="459" t="s">
        <v>324</v>
      </c>
      <c r="D143" s="223"/>
      <c r="E143" s="224">
        <f t="shared" si="13"/>
        <v>27</v>
      </c>
      <c r="F143" s="224">
        <f t="shared" si="14"/>
        <v>3</v>
      </c>
      <c r="G143" s="224">
        <f t="shared" si="15"/>
        <v>0</v>
      </c>
      <c r="H143" s="224">
        <f t="shared" si="16"/>
        <v>15</v>
      </c>
      <c r="I143" s="224">
        <f t="shared" si="17"/>
        <v>9</v>
      </c>
      <c r="J143" s="283">
        <f t="shared" si="18"/>
        <v>6</v>
      </c>
      <c r="K143" s="224" t="e">
        <f t="shared" si="19"/>
        <v>#REF!</v>
      </c>
      <c r="L143" s="224" t="e">
        <f t="shared" si="20"/>
        <v>#REF!</v>
      </c>
      <c r="M143" s="224">
        <f t="shared" si="21"/>
        <v>9</v>
      </c>
    </row>
    <row r="144" spans="3:13" ht="15" hidden="1">
      <c r="C144" s="459" t="s">
        <v>671</v>
      </c>
      <c r="D144" s="223"/>
      <c r="E144" s="224" t="e">
        <f t="shared" si="13"/>
        <v>#N/A</v>
      </c>
      <c r="F144" s="224" t="e">
        <f t="shared" si="14"/>
        <v>#N/A</v>
      </c>
      <c r="G144" s="224" t="e">
        <f t="shared" si="15"/>
        <v>#N/A</v>
      </c>
      <c r="H144" s="224" t="e">
        <f t="shared" si="16"/>
        <v>#N/A</v>
      </c>
      <c r="I144" s="224" t="e">
        <f t="shared" si="17"/>
        <v>#N/A</v>
      </c>
      <c r="J144" s="283" t="e">
        <f t="shared" si="18"/>
        <v>#N/A</v>
      </c>
      <c r="K144" s="224" t="e">
        <f t="shared" si="19"/>
        <v>#REF!</v>
      </c>
      <c r="L144" s="224" t="e">
        <f t="shared" si="20"/>
        <v>#N/A</v>
      </c>
      <c r="M144" s="224" t="e">
        <f t="shared" si="21"/>
        <v>#N/A</v>
      </c>
    </row>
    <row r="145" spans="3:13" ht="15" hidden="1">
      <c r="C145" s="459" t="s">
        <v>127</v>
      </c>
      <c r="D145" s="223"/>
      <c r="E145" s="224">
        <f t="shared" si="13"/>
        <v>21</v>
      </c>
      <c r="F145" s="224">
        <f t="shared" si="14"/>
        <v>3</v>
      </c>
      <c r="G145" s="224">
        <f t="shared" si="15"/>
        <v>0</v>
      </c>
      <c r="H145" s="224">
        <f t="shared" si="16"/>
        <v>8</v>
      </c>
      <c r="I145" s="224">
        <f t="shared" si="17"/>
        <v>10</v>
      </c>
      <c r="J145" s="283">
        <f t="shared" si="18"/>
        <v>-2</v>
      </c>
      <c r="K145" s="224" t="e">
        <f t="shared" si="19"/>
        <v>#REF!</v>
      </c>
      <c r="L145" s="224" t="e">
        <f t="shared" si="20"/>
        <v>#REF!</v>
      </c>
      <c r="M145" s="224">
        <f t="shared" si="21"/>
        <v>9</v>
      </c>
    </row>
    <row r="146" spans="3:13" ht="15" hidden="1">
      <c r="C146" s="459" t="s">
        <v>320</v>
      </c>
      <c r="D146" s="223"/>
      <c r="E146" s="224">
        <f t="shared" si="13"/>
        <v>19</v>
      </c>
      <c r="F146" s="224">
        <f t="shared" si="14"/>
        <v>3</v>
      </c>
      <c r="G146" s="224">
        <f t="shared" si="15"/>
        <v>0</v>
      </c>
      <c r="H146" s="224">
        <f t="shared" si="16"/>
        <v>9</v>
      </c>
      <c r="I146" s="224">
        <f t="shared" si="17"/>
        <v>7</v>
      </c>
      <c r="J146" s="283">
        <f t="shared" si="18"/>
        <v>2</v>
      </c>
      <c r="K146" s="224" t="e">
        <f t="shared" si="19"/>
        <v>#REF!</v>
      </c>
      <c r="L146" s="224" t="e">
        <f t="shared" si="20"/>
        <v>#REF!</v>
      </c>
      <c r="M146" s="224">
        <f t="shared" si="21"/>
        <v>9</v>
      </c>
    </row>
    <row r="147" spans="3:13" ht="15" hidden="1">
      <c r="C147" s="459" t="s">
        <v>29</v>
      </c>
      <c r="D147" s="223"/>
      <c r="E147" s="224">
        <f t="shared" si="13"/>
        <v>28</v>
      </c>
      <c r="F147" s="224">
        <f t="shared" si="14"/>
        <v>6</v>
      </c>
      <c r="G147" s="224">
        <f t="shared" si="15"/>
        <v>0</v>
      </c>
      <c r="H147" s="224">
        <f t="shared" si="16"/>
        <v>6</v>
      </c>
      <c r="I147" s="224">
        <f t="shared" si="17"/>
        <v>16</v>
      </c>
      <c r="J147" s="283">
        <f t="shared" si="18"/>
        <v>-10</v>
      </c>
      <c r="K147" s="224" t="e">
        <f t="shared" si="19"/>
        <v>#REF!</v>
      </c>
      <c r="L147" s="224" t="e">
        <f t="shared" si="20"/>
        <v>#REF!</v>
      </c>
      <c r="M147" s="224">
        <f t="shared" si="21"/>
        <v>18</v>
      </c>
    </row>
    <row r="148" spans="3:13" ht="15" hidden="1">
      <c r="C148" s="459" t="s">
        <v>328</v>
      </c>
      <c r="D148" s="223"/>
      <c r="E148" s="224">
        <f t="shared" si="13"/>
        <v>24</v>
      </c>
      <c r="F148" s="224">
        <f t="shared" si="14"/>
        <v>5</v>
      </c>
      <c r="G148" s="224">
        <f t="shared" si="15"/>
        <v>0</v>
      </c>
      <c r="H148" s="224">
        <f t="shared" si="16"/>
        <v>8</v>
      </c>
      <c r="I148" s="224">
        <f t="shared" si="17"/>
        <v>11</v>
      </c>
      <c r="J148" s="283">
        <f t="shared" si="18"/>
        <v>-3</v>
      </c>
      <c r="K148" s="224" t="e">
        <f t="shared" si="19"/>
        <v>#REF!</v>
      </c>
      <c r="L148" s="224" t="e">
        <f t="shared" si="20"/>
        <v>#REF!</v>
      </c>
      <c r="M148" s="224">
        <f t="shared" si="21"/>
        <v>15</v>
      </c>
    </row>
    <row r="149" spans="3:13" ht="15" hidden="1">
      <c r="C149" s="459" t="s">
        <v>308</v>
      </c>
      <c r="D149" s="223"/>
      <c r="E149" s="224" t="e">
        <f t="shared" si="13"/>
        <v>#N/A</v>
      </c>
      <c r="F149" s="224" t="e">
        <f t="shared" si="14"/>
        <v>#N/A</v>
      </c>
      <c r="G149" s="224" t="e">
        <f t="shared" si="15"/>
        <v>#N/A</v>
      </c>
      <c r="H149" s="224" t="e">
        <f t="shared" si="16"/>
        <v>#N/A</v>
      </c>
      <c r="I149" s="224" t="e">
        <f t="shared" si="17"/>
        <v>#N/A</v>
      </c>
      <c r="J149" s="283" t="e">
        <f t="shared" si="18"/>
        <v>#N/A</v>
      </c>
      <c r="K149" s="224" t="e">
        <f t="shared" si="19"/>
        <v>#N/A</v>
      </c>
      <c r="L149" s="224" t="e">
        <f t="shared" si="20"/>
        <v>#N/A</v>
      </c>
      <c r="M149" s="224" t="e">
        <f t="shared" si="21"/>
        <v>#N/A</v>
      </c>
    </row>
    <row r="150" spans="3:13" ht="15" hidden="1">
      <c r="C150" s="459" t="s">
        <v>309</v>
      </c>
      <c r="D150" s="223"/>
      <c r="E150" s="224">
        <f t="shared" si="13"/>
        <v>22</v>
      </c>
      <c r="F150" s="224">
        <f t="shared" si="14"/>
        <v>3</v>
      </c>
      <c r="G150" s="224">
        <f t="shared" si="15"/>
        <v>0</v>
      </c>
      <c r="H150" s="224">
        <f t="shared" si="16"/>
        <v>8</v>
      </c>
      <c r="I150" s="224">
        <f t="shared" si="17"/>
        <v>11</v>
      </c>
      <c r="J150" s="283">
        <f t="shared" si="18"/>
        <v>-3</v>
      </c>
      <c r="K150" s="224" t="e">
        <f t="shared" si="19"/>
        <v>#REF!</v>
      </c>
      <c r="L150" s="224" t="e">
        <f t="shared" si="20"/>
        <v>#REF!</v>
      </c>
      <c r="M150" s="224">
        <f t="shared" si="21"/>
        <v>9</v>
      </c>
    </row>
    <row r="151" spans="3:13" ht="15" hidden="1">
      <c r="C151" s="459" t="s">
        <v>323</v>
      </c>
      <c r="D151" s="223"/>
      <c r="E151" s="224" t="e">
        <f t="shared" si="13"/>
        <v>#N/A</v>
      </c>
      <c r="F151" s="224" t="e">
        <f t="shared" si="14"/>
        <v>#N/A</v>
      </c>
      <c r="G151" s="224" t="e">
        <f t="shared" si="15"/>
        <v>#N/A</v>
      </c>
      <c r="H151" s="224" t="e">
        <f t="shared" si="16"/>
        <v>#N/A</v>
      </c>
      <c r="I151" s="224" t="e">
        <f t="shared" si="17"/>
        <v>#N/A</v>
      </c>
      <c r="J151" s="283" t="e">
        <f t="shared" si="18"/>
        <v>#N/A</v>
      </c>
      <c r="K151" s="224" t="e">
        <f t="shared" si="19"/>
        <v>#N/A</v>
      </c>
      <c r="L151" s="224" t="e">
        <f t="shared" si="20"/>
        <v>#N/A</v>
      </c>
      <c r="M151" s="224" t="e">
        <f t="shared" si="21"/>
        <v>#N/A</v>
      </c>
    </row>
    <row r="152" spans="3:13" ht="15" hidden="1">
      <c r="C152" s="459" t="s">
        <v>305</v>
      </c>
      <c r="D152" s="223"/>
      <c r="E152" s="224">
        <f t="shared" si="13"/>
        <v>22</v>
      </c>
      <c r="F152" s="224">
        <f t="shared" si="14"/>
        <v>2</v>
      </c>
      <c r="G152" s="224">
        <f t="shared" si="15"/>
        <v>0</v>
      </c>
      <c r="H152" s="224">
        <f t="shared" si="16"/>
        <v>10</v>
      </c>
      <c r="I152" s="224">
        <f t="shared" si="17"/>
        <v>10</v>
      </c>
      <c r="J152" s="283">
        <f t="shared" si="18"/>
        <v>0</v>
      </c>
      <c r="K152" s="224" t="e">
        <f t="shared" si="19"/>
        <v>#REF!</v>
      </c>
      <c r="L152" s="224" t="e">
        <f t="shared" si="20"/>
        <v>#REF!</v>
      </c>
      <c r="M152" s="224">
        <f t="shared" si="21"/>
        <v>6</v>
      </c>
    </row>
    <row r="153" spans="3:13" ht="15" hidden="1">
      <c r="C153" s="459" t="s">
        <v>24</v>
      </c>
      <c r="D153" s="223"/>
      <c r="E153" s="224" t="e">
        <f t="shared" si="13"/>
        <v>#N/A</v>
      </c>
      <c r="F153" s="224" t="e">
        <f t="shared" si="14"/>
        <v>#N/A</v>
      </c>
      <c r="G153" s="224" t="e">
        <f t="shared" si="15"/>
        <v>#N/A</v>
      </c>
      <c r="H153" s="224" t="e">
        <f t="shared" si="16"/>
        <v>#N/A</v>
      </c>
      <c r="I153" s="224" t="e">
        <f t="shared" si="17"/>
        <v>#N/A</v>
      </c>
      <c r="J153" s="283" t="e">
        <f t="shared" si="18"/>
        <v>#N/A</v>
      </c>
      <c r="K153" s="224" t="e">
        <f t="shared" si="19"/>
        <v>#N/A</v>
      </c>
      <c r="L153" s="224" t="e">
        <f t="shared" si="20"/>
        <v>#N/A</v>
      </c>
      <c r="M153" s="224" t="e">
        <f t="shared" si="21"/>
        <v>#N/A</v>
      </c>
    </row>
    <row r="154" spans="3:13" ht="15" hidden="1">
      <c r="C154" s="459" t="s">
        <v>312</v>
      </c>
      <c r="D154" s="223"/>
      <c r="E154" s="224" t="e">
        <f t="shared" si="13"/>
        <v>#N/A</v>
      </c>
      <c r="F154" s="224" t="e">
        <f t="shared" si="14"/>
        <v>#N/A</v>
      </c>
      <c r="G154" s="224" t="e">
        <f t="shared" si="15"/>
        <v>#N/A</v>
      </c>
      <c r="H154" s="224" t="e">
        <f t="shared" si="16"/>
        <v>#N/A</v>
      </c>
      <c r="I154" s="224" t="e">
        <f t="shared" si="17"/>
        <v>#N/A</v>
      </c>
      <c r="J154" s="283" t="e">
        <f t="shared" si="18"/>
        <v>#N/A</v>
      </c>
      <c r="K154" s="224" t="e">
        <f t="shared" si="19"/>
        <v>#N/A</v>
      </c>
      <c r="L154" s="224" t="e">
        <f t="shared" si="20"/>
        <v>#N/A</v>
      </c>
      <c r="M154" s="224" t="e">
        <f t="shared" si="21"/>
        <v>#N/A</v>
      </c>
    </row>
    <row r="155" spans="3:13" ht="15" hidden="1">
      <c r="C155" s="459" t="s">
        <v>237</v>
      </c>
      <c r="D155" s="223"/>
      <c r="E155" s="224" t="e">
        <f t="shared" si="13"/>
        <v>#N/A</v>
      </c>
      <c r="F155" s="224" t="e">
        <f t="shared" si="14"/>
        <v>#N/A</v>
      </c>
      <c r="G155" s="224" t="e">
        <f t="shared" si="15"/>
        <v>#N/A</v>
      </c>
      <c r="H155" s="224" t="e">
        <f t="shared" si="16"/>
        <v>#N/A</v>
      </c>
      <c r="I155" s="224" t="e">
        <f t="shared" si="17"/>
        <v>#N/A</v>
      </c>
      <c r="J155" s="283" t="e">
        <f t="shared" si="18"/>
        <v>#N/A</v>
      </c>
      <c r="K155" s="224" t="e">
        <f t="shared" si="19"/>
        <v>#N/A</v>
      </c>
      <c r="L155" s="224" t="e">
        <f t="shared" si="20"/>
        <v>#N/A</v>
      </c>
      <c r="M155" s="224" t="e">
        <f t="shared" si="21"/>
        <v>#N/A</v>
      </c>
    </row>
    <row r="156" spans="3:13" ht="15" hidden="1">
      <c r="C156" s="459" t="s">
        <v>124</v>
      </c>
      <c r="D156" s="223"/>
      <c r="E156" s="224">
        <f t="shared" si="13"/>
        <v>19</v>
      </c>
      <c r="F156" s="224">
        <f t="shared" si="14"/>
        <v>3</v>
      </c>
      <c r="G156" s="224">
        <f t="shared" si="15"/>
        <v>0</v>
      </c>
      <c r="H156" s="224">
        <f t="shared" si="16"/>
        <v>8</v>
      </c>
      <c r="I156" s="224">
        <f t="shared" si="17"/>
        <v>8</v>
      </c>
      <c r="J156" s="283">
        <f t="shared" si="18"/>
        <v>0</v>
      </c>
      <c r="K156" s="224" t="e">
        <f t="shared" si="19"/>
        <v>#REF!</v>
      </c>
      <c r="L156" s="224" t="e">
        <f t="shared" si="20"/>
        <v>#REF!</v>
      </c>
      <c r="M156" s="224">
        <f t="shared" si="21"/>
        <v>9</v>
      </c>
    </row>
    <row r="157" spans="3:13" ht="15" hidden="1">
      <c r="C157" s="459" t="s">
        <v>52</v>
      </c>
      <c r="D157" s="223"/>
      <c r="E157" s="224">
        <f t="shared" si="13"/>
        <v>27</v>
      </c>
      <c r="F157" s="224">
        <f t="shared" si="14"/>
        <v>1</v>
      </c>
      <c r="G157" s="224">
        <f t="shared" si="15"/>
        <v>0</v>
      </c>
      <c r="H157" s="224">
        <f t="shared" si="16"/>
        <v>18</v>
      </c>
      <c r="I157" s="224">
        <f t="shared" si="17"/>
        <v>8</v>
      </c>
      <c r="J157" s="283">
        <f t="shared" si="18"/>
        <v>10</v>
      </c>
      <c r="K157" s="224" t="e">
        <f t="shared" si="19"/>
        <v>#REF!</v>
      </c>
      <c r="L157" s="224" t="e">
        <f t="shared" si="20"/>
        <v>#REF!</v>
      </c>
      <c r="M157" s="224">
        <f t="shared" si="21"/>
        <v>3</v>
      </c>
    </row>
    <row r="158" spans="3:13" ht="15" hidden="1">
      <c r="C158" s="459" t="s">
        <v>313</v>
      </c>
      <c r="D158" s="223"/>
      <c r="E158" s="224" t="e">
        <f t="shared" si="13"/>
        <v>#N/A</v>
      </c>
      <c r="F158" s="224" t="e">
        <f t="shared" si="14"/>
        <v>#N/A</v>
      </c>
      <c r="G158" s="224" t="e">
        <f t="shared" si="15"/>
        <v>#N/A</v>
      </c>
      <c r="H158" s="224" t="e">
        <f t="shared" si="16"/>
        <v>#N/A</v>
      </c>
      <c r="I158" s="224" t="e">
        <f t="shared" si="17"/>
        <v>#N/A</v>
      </c>
      <c r="J158" s="283" t="e">
        <f t="shared" si="18"/>
        <v>#N/A</v>
      </c>
      <c r="K158" s="224" t="e">
        <f t="shared" si="19"/>
        <v>#N/A</v>
      </c>
      <c r="L158" s="224" t="e">
        <f t="shared" si="20"/>
        <v>#N/A</v>
      </c>
      <c r="M158" s="224" t="e">
        <f t="shared" si="21"/>
        <v>#N/A</v>
      </c>
    </row>
    <row r="159" spans="3:13" ht="15" hidden="1">
      <c r="C159" s="459" t="s">
        <v>232</v>
      </c>
      <c r="D159" s="223"/>
      <c r="E159" s="224" t="e">
        <f t="shared" si="13"/>
        <v>#N/A</v>
      </c>
      <c r="F159" s="224" t="e">
        <f t="shared" si="14"/>
        <v>#N/A</v>
      </c>
      <c r="G159" s="224" t="e">
        <f t="shared" si="15"/>
        <v>#N/A</v>
      </c>
      <c r="H159" s="224" t="e">
        <f t="shared" si="16"/>
        <v>#N/A</v>
      </c>
      <c r="I159" s="224" t="e">
        <f t="shared" si="17"/>
        <v>#N/A</v>
      </c>
      <c r="J159" s="283" t="e">
        <f t="shared" si="18"/>
        <v>#N/A</v>
      </c>
      <c r="K159" s="224" t="e">
        <f t="shared" si="19"/>
        <v>#N/A</v>
      </c>
      <c r="L159" s="224" t="e">
        <f t="shared" si="20"/>
        <v>#N/A</v>
      </c>
      <c r="M159" s="224" t="e">
        <f t="shared" si="21"/>
        <v>#N/A</v>
      </c>
    </row>
    <row r="160" spans="3:13" ht="15" hidden="1">
      <c r="C160" s="459" t="s">
        <v>13</v>
      </c>
      <c r="D160" s="223"/>
      <c r="E160" s="224" t="e">
        <f t="shared" si="13"/>
        <v>#N/A</v>
      </c>
      <c r="F160" s="224" t="e">
        <f t="shared" si="14"/>
        <v>#N/A</v>
      </c>
      <c r="G160" s="224" t="e">
        <f t="shared" si="15"/>
        <v>#N/A</v>
      </c>
      <c r="H160" s="224" t="e">
        <f t="shared" si="16"/>
        <v>#N/A</v>
      </c>
      <c r="I160" s="224" t="e">
        <f t="shared" si="17"/>
        <v>#N/A</v>
      </c>
      <c r="J160" s="283" t="e">
        <f t="shared" si="18"/>
        <v>#N/A</v>
      </c>
      <c r="K160" s="224" t="e">
        <f t="shared" si="19"/>
        <v>#N/A</v>
      </c>
      <c r="L160" s="224" t="e">
        <f t="shared" si="20"/>
        <v>#N/A</v>
      </c>
      <c r="M160" s="224" t="e">
        <f t="shared" si="21"/>
        <v>#N/A</v>
      </c>
    </row>
    <row r="161" spans="3:13" ht="15" hidden="1">
      <c r="C161" s="459" t="s">
        <v>315</v>
      </c>
      <c r="D161" s="223"/>
      <c r="E161" s="224">
        <f t="shared" si="13"/>
        <v>21</v>
      </c>
      <c r="F161" s="224">
        <f t="shared" si="14"/>
        <v>1</v>
      </c>
      <c r="G161" s="224">
        <f t="shared" si="15"/>
        <v>0</v>
      </c>
      <c r="H161" s="224">
        <f t="shared" si="16"/>
        <v>13</v>
      </c>
      <c r="I161" s="224">
        <f t="shared" si="17"/>
        <v>7</v>
      </c>
      <c r="J161" s="283">
        <f t="shared" si="18"/>
        <v>6</v>
      </c>
      <c r="K161" s="224" t="e">
        <f t="shared" si="19"/>
        <v>#REF!</v>
      </c>
      <c r="L161" s="224" t="e">
        <f t="shared" si="20"/>
        <v>#REF!</v>
      </c>
      <c r="M161" s="224">
        <f t="shared" si="21"/>
        <v>3</v>
      </c>
    </row>
    <row r="162" ht="15" hidden="1"/>
    <row r="163" ht="15" hidden="1"/>
    <row r="164" ht="15" hidden="1"/>
    <row r="165" ht="15" hidden="1"/>
    <row r="166" ht="15" hidden="1"/>
  </sheetData>
  <sheetProtection/>
  <mergeCells count="23">
    <mergeCell ref="H2:I2"/>
    <mergeCell ref="F89:H89"/>
    <mergeCell ref="C1:E1"/>
    <mergeCell ref="F77:H77"/>
    <mergeCell ref="F78:H78"/>
    <mergeCell ref="F79:H79"/>
    <mergeCell ref="F83:H83"/>
    <mergeCell ref="F84:H84"/>
    <mergeCell ref="F85:H85"/>
    <mergeCell ref="F53:H53"/>
    <mergeCell ref="E2:F2"/>
    <mergeCell ref="F72:H72"/>
    <mergeCell ref="F73:H73"/>
    <mergeCell ref="F76:H76"/>
    <mergeCell ref="F86:H86"/>
    <mergeCell ref="F87:H87"/>
    <mergeCell ref="F88:H88"/>
    <mergeCell ref="A13:A20"/>
    <mergeCell ref="A23:A30"/>
    <mergeCell ref="A33:A40"/>
    <mergeCell ref="A43:A50"/>
    <mergeCell ref="I53:K53"/>
    <mergeCell ref="P53:R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6"/>
  <sheetViews>
    <sheetView zoomScalePageLayoutView="0" workbookViewId="0" topLeftCell="A1">
      <selection activeCell="B6" sqref="B6:B9"/>
    </sheetView>
  </sheetViews>
  <sheetFormatPr defaultColWidth="9.140625" defaultRowHeight="15"/>
  <cols>
    <col min="2" max="2" width="16.57421875" style="0" bestFit="1" customWidth="1"/>
  </cols>
  <sheetData>
    <row r="1" spans="1:2" ht="15.75" thickBot="1">
      <c r="A1" s="20" t="s">
        <v>76</v>
      </c>
      <c r="B1" s="21" t="s">
        <v>77</v>
      </c>
    </row>
    <row r="2" spans="1:5" ht="15">
      <c r="A2" s="22">
        <v>1</v>
      </c>
      <c r="B2" s="23">
        <v>45</v>
      </c>
      <c r="D2">
        <f>B2+B3+B6</f>
        <v>117</v>
      </c>
      <c r="E2">
        <f>B2+B3+B7+B11</f>
        <v>138</v>
      </c>
    </row>
    <row r="3" spans="1:2" ht="15">
      <c r="A3" s="24">
        <v>2</v>
      </c>
      <c r="B3" s="25">
        <v>40</v>
      </c>
    </row>
    <row r="4" spans="1:2" ht="15">
      <c r="A4" s="24">
        <v>3</v>
      </c>
      <c r="B4" s="25">
        <v>37</v>
      </c>
    </row>
    <row r="5" spans="1:2" ht="15">
      <c r="A5" s="24">
        <v>4</v>
      </c>
      <c r="B5" s="25">
        <v>34</v>
      </c>
    </row>
    <row r="6" spans="1:2" ht="15">
      <c r="A6" s="24">
        <v>5</v>
      </c>
      <c r="B6" s="25">
        <v>32</v>
      </c>
    </row>
    <row r="7" spans="1:2" ht="15">
      <c r="A7" s="24">
        <v>6</v>
      </c>
      <c r="B7" s="25">
        <v>30</v>
      </c>
    </row>
    <row r="8" spans="1:2" ht="15">
      <c r="A8" s="24">
        <v>7</v>
      </c>
      <c r="B8" s="25">
        <v>28</v>
      </c>
    </row>
    <row r="9" spans="1:2" ht="15">
      <c r="A9" s="24">
        <v>8</v>
      </c>
      <c r="B9" s="25">
        <v>26</v>
      </c>
    </row>
    <row r="10" spans="1:2" ht="15">
      <c r="A10" s="24">
        <v>9</v>
      </c>
      <c r="B10" s="25">
        <v>24</v>
      </c>
    </row>
    <row r="11" spans="1:2" ht="15">
      <c r="A11" s="24">
        <v>10</v>
      </c>
      <c r="B11" s="25">
        <v>23</v>
      </c>
    </row>
    <row r="12" spans="1:2" ht="15">
      <c r="A12" s="24">
        <v>11</v>
      </c>
      <c r="B12" s="25">
        <v>22</v>
      </c>
    </row>
    <row r="13" spans="1:2" ht="15">
      <c r="A13" s="24">
        <v>12</v>
      </c>
      <c r="B13" s="25">
        <v>21</v>
      </c>
    </row>
    <row r="14" spans="1:2" ht="15">
      <c r="A14" s="24">
        <v>13</v>
      </c>
      <c r="B14" s="25">
        <v>20</v>
      </c>
    </row>
    <row r="15" spans="1:2" ht="15">
      <c r="A15" s="24">
        <v>14</v>
      </c>
      <c r="B15" s="25">
        <v>19</v>
      </c>
    </row>
    <row r="16" spans="1:2" ht="15">
      <c r="A16" s="24">
        <v>15</v>
      </c>
      <c r="B16" s="25">
        <v>18</v>
      </c>
    </row>
    <row r="17" spans="1:2" ht="15">
      <c r="A17" s="24">
        <v>16</v>
      </c>
      <c r="B17" s="25">
        <v>17</v>
      </c>
    </row>
    <row r="18" spans="1:2" ht="15">
      <c r="A18" s="24">
        <v>17</v>
      </c>
      <c r="B18" s="25">
        <v>16</v>
      </c>
    </row>
    <row r="19" spans="1:2" ht="15">
      <c r="A19" s="24">
        <v>18</v>
      </c>
      <c r="B19" s="25">
        <v>15</v>
      </c>
    </row>
    <row r="20" spans="1:2" ht="15">
      <c r="A20" s="24">
        <v>19</v>
      </c>
      <c r="B20" s="25">
        <v>14</v>
      </c>
    </row>
    <row r="21" spans="1:2" ht="15">
      <c r="A21" s="24">
        <v>20</v>
      </c>
      <c r="B21" s="25">
        <v>13</v>
      </c>
    </row>
    <row r="22" spans="1:2" ht="15">
      <c r="A22" s="24">
        <v>21</v>
      </c>
      <c r="B22" s="25">
        <v>12</v>
      </c>
    </row>
    <row r="23" spans="1:2" ht="15">
      <c r="A23" s="24">
        <v>22</v>
      </c>
      <c r="B23" s="25">
        <v>11</v>
      </c>
    </row>
    <row r="24" spans="1:2" ht="15">
      <c r="A24" s="24">
        <v>23</v>
      </c>
      <c r="B24" s="25">
        <v>10</v>
      </c>
    </row>
    <row r="25" spans="1:2" ht="15">
      <c r="A25" s="24">
        <v>24</v>
      </c>
      <c r="B25" s="25">
        <v>9</v>
      </c>
    </row>
    <row r="26" spans="1:2" ht="15">
      <c r="A26" s="24">
        <v>25</v>
      </c>
      <c r="B26" s="25">
        <v>8</v>
      </c>
    </row>
    <row r="27" spans="1:2" ht="15">
      <c r="A27" s="24">
        <v>26</v>
      </c>
      <c r="B27" s="25">
        <v>7</v>
      </c>
    </row>
    <row r="28" spans="1:2" ht="15">
      <c r="A28" s="24">
        <v>27</v>
      </c>
      <c r="B28" s="25">
        <v>6</v>
      </c>
    </row>
    <row r="29" spans="1:2" ht="15">
      <c r="A29" s="24">
        <v>28</v>
      </c>
      <c r="B29" s="25">
        <v>5</v>
      </c>
    </row>
    <row r="30" spans="1:2" ht="15">
      <c r="A30" s="24">
        <v>29</v>
      </c>
      <c r="B30" s="25">
        <v>4</v>
      </c>
    </row>
    <row r="31" spans="1:2" s="45" customFormat="1" ht="15">
      <c r="A31" s="49">
        <v>30</v>
      </c>
      <c r="B31" s="50">
        <v>3</v>
      </c>
    </row>
    <row r="32" spans="1:2" s="124" customFormat="1" ht="15">
      <c r="A32" s="49">
        <v>31</v>
      </c>
      <c r="B32" s="50">
        <v>2</v>
      </c>
    </row>
    <row r="33" spans="1:2" s="124" customFormat="1" ht="15">
      <c r="A33" s="49">
        <v>32</v>
      </c>
      <c r="B33" s="50">
        <v>1</v>
      </c>
    </row>
    <row r="34" spans="1:2" s="124" customFormat="1" ht="15">
      <c r="A34" s="49">
        <v>33</v>
      </c>
      <c r="B34" s="50">
        <v>0</v>
      </c>
    </row>
    <row r="35" spans="1:2" s="124" customFormat="1" ht="15">
      <c r="A35" s="49">
        <v>34</v>
      </c>
      <c r="B35" s="50">
        <v>0</v>
      </c>
    </row>
    <row r="36" spans="1:2" s="124" customFormat="1" ht="15">
      <c r="A36" s="49">
        <v>35</v>
      </c>
      <c r="B36" s="50">
        <v>0</v>
      </c>
    </row>
    <row r="37" spans="1:2" s="124" customFormat="1" ht="15">
      <c r="A37" s="49">
        <v>36</v>
      </c>
      <c r="B37" s="50">
        <v>0</v>
      </c>
    </row>
    <row r="38" spans="1:2" s="124" customFormat="1" ht="15">
      <c r="A38" s="49">
        <v>37</v>
      </c>
      <c r="B38" s="50">
        <v>0</v>
      </c>
    </row>
    <row r="39" spans="1:2" s="124" customFormat="1" ht="15">
      <c r="A39" s="49">
        <v>38</v>
      </c>
      <c r="B39" s="50">
        <v>0</v>
      </c>
    </row>
    <row r="40" spans="1:2" s="124" customFormat="1" ht="15">
      <c r="A40" s="49">
        <v>39</v>
      </c>
      <c r="B40" s="50">
        <v>0</v>
      </c>
    </row>
    <row r="41" spans="1:2" s="124" customFormat="1" ht="15">
      <c r="A41" s="49">
        <v>40</v>
      </c>
      <c r="B41" s="50">
        <v>0</v>
      </c>
    </row>
    <row r="42" spans="1:2" s="124" customFormat="1" ht="15">
      <c r="A42" s="49">
        <v>41</v>
      </c>
      <c r="B42" s="50">
        <v>0</v>
      </c>
    </row>
    <row r="43" spans="1:2" s="124" customFormat="1" ht="15">
      <c r="A43" s="49">
        <v>42</v>
      </c>
      <c r="B43" s="50">
        <v>0</v>
      </c>
    </row>
    <row r="44" spans="1:2" s="124" customFormat="1" ht="15">
      <c r="A44" s="49">
        <v>43</v>
      </c>
      <c r="B44" s="50">
        <v>0</v>
      </c>
    </row>
    <row r="45" spans="1:2" s="124" customFormat="1" ht="15">
      <c r="A45" s="49">
        <v>44</v>
      </c>
      <c r="B45" s="50">
        <v>0</v>
      </c>
    </row>
    <row r="46" spans="1:2" s="124" customFormat="1" ht="15">
      <c r="A46" s="49">
        <v>45</v>
      </c>
      <c r="B46" s="50">
        <v>0</v>
      </c>
    </row>
    <row r="47" spans="1:2" s="124" customFormat="1" ht="15">
      <c r="A47" s="49">
        <v>46</v>
      </c>
      <c r="B47" s="50">
        <v>0</v>
      </c>
    </row>
    <row r="48" spans="1:2" s="377" customFormat="1" ht="15">
      <c r="A48" s="132" t="s">
        <v>547</v>
      </c>
      <c r="B48" s="50">
        <v>29</v>
      </c>
    </row>
    <row r="49" spans="1:2" s="131" customFormat="1" ht="15">
      <c r="A49" s="132" t="s">
        <v>224</v>
      </c>
      <c r="B49" s="50">
        <v>22.5</v>
      </c>
    </row>
    <row r="50" spans="1:2" s="498" customFormat="1" ht="15">
      <c r="A50" s="132" t="s">
        <v>774</v>
      </c>
      <c r="B50" s="50">
        <v>20.5</v>
      </c>
    </row>
    <row r="51" spans="1:2" s="147" customFormat="1" ht="15">
      <c r="A51" s="132" t="s">
        <v>255</v>
      </c>
      <c r="B51" s="50">
        <v>20</v>
      </c>
    </row>
    <row r="52" spans="1:2" s="387" customFormat="1" ht="15">
      <c r="A52" s="132" t="s">
        <v>616</v>
      </c>
      <c r="B52" s="50">
        <v>19</v>
      </c>
    </row>
    <row r="53" spans="1:2" s="131" customFormat="1" ht="15">
      <c r="A53" s="132" t="s">
        <v>225</v>
      </c>
      <c r="B53" s="50">
        <v>18.5</v>
      </c>
    </row>
    <row r="54" spans="1:2" s="263" customFormat="1" ht="15">
      <c r="A54" s="132" t="s">
        <v>357</v>
      </c>
      <c r="B54" s="50">
        <v>17.5</v>
      </c>
    </row>
    <row r="55" spans="1:2" s="147" customFormat="1" ht="15">
      <c r="A55" s="132" t="s">
        <v>256</v>
      </c>
      <c r="B55" s="50">
        <v>15</v>
      </c>
    </row>
    <row r="56" spans="1:2" s="131" customFormat="1" ht="15">
      <c r="A56" s="132" t="s">
        <v>174</v>
      </c>
      <c r="B56" s="50">
        <v>14.5</v>
      </c>
    </row>
    <row r="57" spans="1:2" s="347" customFormat="1" ht="15">
      <c r="A57" s="132" t="s">
        <v>421</v>
      </c>
      <c r="B57" s="50">
        <v>14</v>
      </c>
    </row>
    <row r="58" spans="1:2" s="263" customFormat="1" ht="15">
      <c r="A58" s="132" t="s">
        <v>274</v>
      </c>
      <c r="B58" s="50">
        <v>11.5</v>
      </c>
    </row>
    <row r="59" spans="1:2" s="54" customFormat="1" ht="15">
      <c r="A59" s="49" t="s">
        <v>175</v>
      </c>
      <c r="B59" s="50">
        <v>10.5</v>
      </c>
    </row>
    <row r="60" spans="1:2" s="531" customFormat="1" ht="15">
      <c r="A60" s="49" t="s">
        <v>902</v>
      </c>
      <c r="B60" s="50">
        <v>10</v>
      </c>
    </row>
    <row r="61" spans="1:2" s="347" customFormat="1" ht="15">
      <c r="A61" s="49" t="s">
        <v>420</v>
      </c>
      <c r="B61" s="50">
        <v>8</v>
      </c>
    </row>
    <row r="62" spans="1:2" s="147" customFormat="1" ht="15">
      <c r="A62" s="49" t="s">
        <v>254</v>
      </c>
      <c r="B62" s="50">
        <v>7.5</v>
      </c>
    </row>
    <row r="63" spans="1:2" s="574" customFormat="1" ht="15">
      <c r="A63" s="49" t="s">
        <v>928</v>
      </c>
      <c r="B63" s="50">
        <v>11</v>
      </c>
    </row>
    <row r="64" spans="1:2" s="394" customFormat="1" ht="15">
      <c r="A64" s="49" t="s">
        <v>617</v>
      </c>
      <c r="B64" s="50">
        <v>9.5</v>
      </c>
    </row>
    <row r="65" spans="1:2" s="574" customFormat="1" ht="15">
      <c r="A65" s="49" t="s">
        <v>929</v>
      </c>
      <c r="B65" s="50">
        <v>7.5</v>
      </c>
    </row>
    <row r="66" spans="1:2" s="46" customFormat="1" ht="15">
      <c r="A66" s="49" t="s">
        <v>139</v>
      </c>
      <c r="B66" s="50">
        <v>6.5</v>
      </c>
    </row>
    <row r="67" spans="1:2" s="179" customFormat="1" ht="15">
      <c r="A67" s="49" t="s">
        <v>297</v>
      </c>
      <c r="B67" s="50">
        <v>5.5</v>
      </c>
    </row>
    <row r="68" spans="1:2" s="144" customFormat="1" ht="15">
      <c r="A68" s="49" t="s">
        <v>246</v>
      </c>
      <c r="B68" s="50">
        <v>4.5</v>
      </c>
    </row>
    <row r="69" spans="1:2" s="574" customFormat="1" ht="15">
      <c r="A69" s="49" t="s">
        <v>930</v>
      </c>
      <c r="B69" s="50">
        <v>3.5</v>
      </c>
    </row>
    <row r="70" spans="1:2" s="54" customFormat="1" ht="15">
      <c r="A70" s="49" t="s">
        <v>132</v>
      </c>
      <c r="B70" s="50">
        <v>2.5</v>
      </c>
    </row>
    <row r="71" spans="1:2" s="45" customFormat="1" ht="15">
      <c r="A71" s="49" t="s">
        <v>128</v>
      </c>
      <c r="B71" s="50">
        <v>1.4</v>
      </c>
    </row>
    <row r="72" spans="1:2" s="375" customFormat="1" ht="15">
      <c r="A72" s="49" t="s">
        <v>541</v>
      </c>
      <c r="B72" s="50">
        <v>1.3</v>
      </c>
    </row>
    <row r="73" spans="1:2" s="54" customFormat="1" ht="15">
      <c r="A73" s="49" t="s">
        <v>176</v>
      </c>
      <c r="B73" s="50">
        <v>0</v>
      </c>
    </row>
    <row r="74" spans="1:2" s="191" customFormat="1" ht="15">
      <c r="A74" s="49" t="s">
        <v>298</v>
      </c>
      <c r="B74" s="50">
        <v>0.5</v>
      </c>
    </row>
    <row r="75" spans="1:2" s="144" customFormat="1" ht="15">
      <c r="A75" s="49" t="s">
        <v>257</v>
      </c>
      <c r="B75" s="50">
        <v>0.3</v>
      </c>
    </row>
    <row r="76" spans="1:2" s="574" customFormat="1" ht="15">
      <c r="A76" s="49" t="s">
        <v>931</v>
      </c>
      <c r="B76" s="50">
        <v>0.3</v>
      </c>
    </row>
    <row r="77" spans="1:2" s="148" customFormat="1" ht="15">
      <c r="A77" s="49" t="s">
        <v>247</v>
      </c>
      <c r="B77" s="50">
        <v>0</v>
      </c>
    </row>
    <row r="78" spans="1:2" s="45" customFormat="1" ht="15">
      <c r="A78" s="49" t="s">
        <v>129</v>
      </c>
      <c r="B78" s="50">
        <v>0</v>
      </c>
    </row>
    <row r="79" spans="1:2" s="191" customFormat="1" ht="15">
      <c r="A79" s="49" t="s">
        <v>299</v>
      </c>
      <c r="B79" s="50">
        <v>0</v>
      </c>
    </row>
    <row r="80" spans="1:2" s="144" customFormat="1" ht="15">
      <c r="A80" s="49" t="s">
        <v>248</v>
      </c>
      <c r="B80" s="50">
        <v>0</v>
      </c>
    </row>
    <row r="81" spans="1:2" s="191" customFormat="1" ht="15">
      <c r="A81" s="49" t="s">
        <v>300</v>
      </c>
      <c r="B81" s="50">
        <v>0</v>
      </c>
    </row>
    <row r="82" spans="1:2" s="498" customFormat="1" ht="15">
      <c r="A82" s="49" t="s">
        <v>843</v>
      </c>
      <c r="B82" s="50">
        <v>0</v>
      </c>
    </row>
    <row r="83" spans="1:2" s="45" customFormat="1" ht="15">
      <c r="A83" s="49">
        <v>0</v>
      </c>
      <c r="B83" s="50">
        <v>0</v>
      </c>
    </row>
    <row r="84" spans="1:2" ht="15.75" thickBot="1">
      <c r="A84" s="26"/>
      <c r="B84" s="27"/>
    </row>
    <row r="85" spans="1:10" ht="15" customHeight="1">
      <c r="A85" s="619" t="s">
        <v>78</v>
      </c>
      <c r="B85" s="619"/>
      <c r="C85" s="619"/>
      <c r="D85" s="619"/>
      <c r="E85" s="619"/>
      <c r="F85" s="619"/>
      <c r="G85" s="619"/>
      <c r="H85" s="619"/>
      <c r="I85" s="619"/>
      <c r="J85" s="619"/>
    </row>
    <row r="86" spans="1:10" ht="15" hidden="1">
      <c r="A86" s="620"/>
      <c r="B86" s="620"/>
      <c r="C86" s="620"/>
      <c r="D86" s="620"/>
      <c r="E86" s="620"/>
      <c r="F86" s="620"/>
      <c r="G86" s="620"/>
      <c r="H86" s="620"/>
      <c r="I86" s="620"/>
      <c r="J86" s="620"/>
    </row>
    <row r="87" spans="1:10" ht="15" hidden="1">
      <c r="A87" s="621"/>
      <c r="B87" s="621"/>
      <c r="C87" s="621"/>
      <c r="D87" s="621"/>
      <c r="E87" s="621"/>
      <c r="F87" s="621"/>
      <c r="G87" s="621"/>
      <c r="H87" s="621"/>
      <c r="I87" s="621"/>
      <c r="J87" s="621"/>
    </row>
    <row r="88" spans="1:10" ht="15">
      <c r="A88" s="28"/>
      <c r="B88" s="29"/>
      <c r="C88" s="29"/>
      <c r="D88" s="29"/>
      <c r="E88" s="29"/>
      <c r="F88" s="29"/>
      <c r="G88" s="29"/>
      <c r="H88" s="29"/>
      <c r="I88" s="29"/>
      <c r="J88" s="29"/>
    </row>
    <row r="89" spans="1:10" ht="36" customHeight="1">
      <c r="A89" s="622" t="s">
        <v>79</v>
      </c>
      <c r="B89" s="622"/>
      <c r="C89" s="622"/>
      <c r="D89" s="622"/>
      <c r="E89" s="622"/>
      <c r="F89" s="622"/>
      <c r="G89" s="622"/>
      <c r="H89" s="622"/>
      <c r="I89" s="622"/>
      <c r="J89" s="622"/>
    </row>
    <row r="90" spans="1:10" ht="15">
      <c r="A90" s="28"/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15">
      <c r="A91" s="620"/>
      <c r="B91" s="620"/>
      <c r="C91" s="620"/>
      <c r="D91" s="620"/>
      <c r="E91" s="620"/>
      <c r="F91" s="620"/>
      <c r="G91" s="620"/>
      <c r="H91" s="620"/>
      <c r="I91" s="620"/>
      <c r="J91" s="620"/>
    </row>
    <row r="92" spans="1:10" ht="15">
      <c r="A92" s="621"/>
      <c r="B92" s="621"/>
      <c r="C92" s="621"/>
      <c r="D92" s="621"/>
      <c r="E92" s="621"/>
      <c r="F92" s="621"/>
      <c r="G92" s="621"/>
      <c r="H92" s="621"/>
      <c r="I92" s="621"/>
      <c r="J92" s="621"/>
    </row>
    <row r="93" spans="1:10" ht="15">
      <c r="A93" s="620"/>
      <c r="B93" s="620"/>
      <c r="C93" s="620"/>
      <c r="D93" s="620"/>
      <c r="E93" s="620"/>
      <c r="F93" s="620"/>
      <c r="G93" s="620"/>
      <c r="H93" s="620"/>
      <c r="I93" s="620"/>
      <c r="J93" s="620"/>
    </row>
    <row r="94" spans="1:10" ht="24" customHeight="1">
      <c r="A94" s="621" t="s">
        <v>80</v>
      </c>
      <c r="B94" s="621"/>
      <c r="C94" s="621"/>
      <c r="D94" s="621"/>
      <c r="E94" s="621"/>
      <c r="F94" s="621"/>
      <c r="G94" s="621"/>
      <c r="H94" s="621"/>
      <c r="I94" s="621"/>
      <c r="J94" s="621"/>
    </row>
    <row r="95" spans="1:10" ht="15">
      <c r="A95" s="620"/>
      <c r="B95" s="620"/>
      <c r="C95" s="620"/>
      <c r="D95" s="620"/>
      <c r="E95" s="620"/>
      <c r="F95" s="620"/>
      <c r="G95" s="620"/>
      <c r="H95" s="620"/>
      <c r="I95" s="620"/>
      <c r="J95" s="620"/>
    </row>
    <row r="96" spans="1:10" ht="15">
      <c r="A96" s="623"/>
      <c r="B96" s="623"/>
      <c r="C96" s="623"/>
      <c r="D96" s="623"/>
      <c r="E96" s="623"/>
      <c r="F96" s="623"/>
      <c r="G96" s="623"/>
      <c r="H96" s="623"/>
      <c r="I96" s="623"/>
      <c r="J96" s="623"/>
    </row>
    <row r="97" spans="1:10" ht="75" customHeight="1">
      <c r="A97" s="623" t="s">
        <v>81</v>
      </c>
      <c r="B97" s="623"/>
      <c r="C97" s="623"/>
      <c r="D97" s="623"/>
      <c r="E97" s="623"/>
      <c r="F97" s="623"/>
      <c r="G97" s="623"/>
      <c r="H97" s="623"/>
      <c r="I97" s="623"/>
      <c r="J97" s="623"/>
    </row>
    <row r="98" spans="1:10" ht="15">
      <c r="A98" s="620"/>
      <c r="B98" s="620"/>
      <c r="C98" s="620"/>
      <c r="D98" s="620"/>
      <c r="E98" s="620"/>
      <c r="F98" s="620"/>
      <c r="G98" s="620"/>
      <c r="H98" s="620"/>
      <c r="I98" s="620"/>
      <c r="J98" s="620"/>
    </row>
    <row r="99" spans="1:10" ht="15.75" thickBot="1">
      <c r="A99" s="624"/>
      <c r="B99" s="624"/>
      <c r="C99" s="624"/>
      <c r="D99" s="624"/>
      <c r="E99" s="624"/>
      <c r="F99" s="624"/>
      <c r="G99" s="624"/>
      <c r="H99" s="624"/>
      <c r="I99" s="624"/>
      <c r="J99" s="624"/>
    </row>
    <row r="100" spans="1:10" ht="16.5" thickBot="1" thickTop="1">
      <c r="A100" s="30" t="s">
        <v>76</v>
      </c>
      <c r="B100" s="31" t="s">
        <v>77</v>
      </c>
      <c r="C100" s="32" t="s">
        <v>76</v>
      </c>
      <c r="D100" s="31" t="s">
        <v>77</v>
      </c>
      <c r="E100" s="32" t="s">
        <v>76</v>
      </c>
      <c r="F100" s="31" t="s">
        <v>77</v>
      </c>
      <c r="G100" s="32" t="s">
        <v>76</v>
      </c>
      <c r="H100" s="31" t="s">
        <v>77</v>
      </c>
      <c r="I100" s="32" t="s">
        <v>76</v>
      </c>
      <c r="J100" s="31" t="s">
        <v>77</v>
      </c>
    </row>
    <row r="101" spans="1:10" ht="15.75" thickBot="1">
      <c r="A101" s="33">
        <v>1</v>
      </c>
      <c r="B101" s="34">
        <v>50</v>
      </c>
      <c r="C101" s="35">
        <v>8</v>
      </c>
      <c r="D101" s="34">
        <v>31</v>
      </c>
      <c r="E101" s="35">
        <v>15</v>
      </c>
      <c r="F101" s="34">
        <v>21</v>
      </c>
      <c r="G101" s="35">
        <v>22</v>
      </c>
      <c r="H101" s="34">
        <v>14</v>
      </c>
      <c r="I101" s="35">
        <v>29</v>
      </c>
      <c r="J101" s="34">
        <v>7</v>
      </c>
    </row>
    <row r="102" spans="1:10" ht="15.75" thickBot="1">
      <c r="A102" s="33">
        <v>2</v>
      </c>
      <c r="B102" s="34">
        <v>45</v>
      </c>
      <c r="C102" s="35">
        <v>9</v>
      </c>
      <c r="D102" s="34">
        <v>29</v>
      </c>
      <c r="E102" s="35">
        <v>16</v>
      </c>
      <c r="F102" s="34">
        <v>20</v>
      </c>
      <c r="G102" s="35">
        <v>23</v>
      </c>
      <c r="H102" s="34">
        <v>13</v>
      </c>
      <c r="I102" s="35">
        <v>30</v>
      </c>
      <c r="J102" s="34">
        <v>6</v>
      </c>
    </row>
    <row r="103" spans="1:10" ht="15.75" thickBot="1">
      <c r="A103" s="33">
        <v>3</v>
      </c>
      <c r="B103" s="34">
        <v>42</v>
      </c>
      <c r="C103" s="35">
        <v>10</v>
      </c>
      <c r="D103" s="34">
        <v>27</v>
      </c>
      <c r="E103" s="35">
        <v>17</v>
      </c>
      <c r="F103" s="34">
        <v>19</v>
      </c>
      <c r="G103" s="35">
        <v>24</v>
      </c>
      <c r="H103" s="34">
        <v>12</v>
      </c>
      <c r="I103" s="35">
        <v>31</v>
      </c>
      <c r="J103" s="34">
        <v>5</v>
      </c>
    </row>
    <row r="104" spans="1:10" ht="15.75" thickBot="1">
      <c r="A104" s="33">
        <v>4</v>
      </c>
      <c r="B104" s="34">
        <v>39</v>
      </c>
      <c r="C104" s="35">
        <v>11</v>
      </c>
      <c r="D104" s="34">
        <v>25</v>
      </c>
      <c r="E104" s="35">
        <v>18</v>
      </c>
      <c r="F104" s="34">
        <v>18</v>
      </c>
      <c r="G104" s="35">
        <v>25</v>
      </c>
      <c r="H104" s="34">
        <v>11</v>
      </c>
      <c r="I104" s="35">
        <v>32</v>
      </c>
      <c r="J104" s="34">
        <v>4</v>
      </c>
    </row>
    <row r="105" spans="1:10" ht="15.75" thickBot="1">
      <c r="A105" s="33">
        <v>5</v>
      </c>
      <c r="B105" s="34">
        <v>37</v>
      </c>
      <c r="C105" s="35">
        <v>12</v>
      </c>
      <c r="D105" s="34">
        <v>24</v>
      </c>
      <c r="E105" s="35">
        <v>19</v>
      </c>
      <c r="F105" s="34">
        <v>17</v>
      </c>
      <c r="G105" s="35">
        <v>26</v>
      </c>
      <c r="H105" s="34">
        <v>10</v>
      </c>
      <c r="I105" s="35">
        <v>33</v>
      </c>
      <c r="J105" s="34">
        <v>3</v>
      </c>
    </row>
    <row r="106" spans="1:10" ht="15">
      <c r="A106" s="389">
        <v>6</v>
      </c>
      <c r="B106" s="390">
        <v>35</v>
      </c>
      <c r="C106" s="391">
        <v>13</v>
      </c>
      <c r="D106" s="390">
        <v>23</v>
      </c>
      <c r="E106" s="391">
        <v>20</v>
      </c>
      <c r="F106" s="390">
        <v>16</v>
      </c>
      <c r="G106" s="391">
        <v>27</v>
      </c>
      <c r="H106" s="390">
        <v>9</v>
      </c>
      <c r="I106" s="391">
        <v>34</v>
      </c>
      <c r="J106" s="390">
        <v>2</v>
      </c>
    </row>
    <row r="107" spans="1:10" s="388" customFormat="1" ht="15.75" thickBot="1">
      <c r="A107" s="36">
        <v>7</v>
      </c>
      <c r="B107" s="37">
        <v>33</v>
      </c>
      <c r="C107" s="38">
        <v>14</v>
      </c>
      <c r="D107" s="37">
        <v>22</v>
      </c>
      <c r="E107" s="38">
        <v>21</v>
      </c>
      <c r="F107" s="37">
        <v>15</v>
      </c>
      <c r="G107" s="38">
        <v>28</v>
      </c>
      <c r="H107" s="37">
        <v>8</v>
      </c>
      <c r="I107" s="38">
        <v>35</v>
      </c>
      <c r="J107" s="37">
        <v>1</v>
      </c>
    </row>
    <row r="108" spans="1:10" ht="15.75" thickTop="1">
      <c r="A108" s="625"/>
      <c r="B108" s="625"/>
      <c r="C108" s="625"/>
      <c r="D108" s="625"/>
      <c r="E108" s="625"/>
      <c r="F108" s="625"/>
      <c r="G108" s="625"/>
      <c r="H108" s="625"/>
      <c r="I108" s="625"/>
      <c r="J108" s="625"/>
    </row>
    <row r="109" spans="1:10" ht="15">
      <c r="A109" s="623"/>
      <c r="B109" s="623"/>
      <c r="C109" s="623"/>
      <c r="D109" s="623"/>
      <c r="E109" s="623"/>
      <c r="F109" s="623"/>
      <c r="G109" s="623"/>
      <c r="H109" s="623"/>
      <c r="I109" s="623"/>
      <c r="J109" s="623"/>
    </row>
    <row r="110" spans="1:10" ht="75" customHeight="1">
      <c r="A110" s="623" t="s">
        <v>82</v>
      </c>
      <c r="B110" s="623"/>
      <c r="C110" s="623"/>
      <c r="D110" s="623"/>
      <c r="E110" s="623"/>
      <c r="F110" s="623"/>
      <c r="G110" s="623"/>
      <c r="H110" s="623"/>
      <c r="I110" s="623"/>
      <c r="J110" s="623"/>
    </row>
    <row r="111" spans="1:10" ht="15">
      <c r="A111" s="623"/>
      <c r="B111" s="623"/>
      <c r="C111" s="623"/>
      <c r="D111" s="623"/>
      <c r="E111" s="623"/>
      <c r="F111" s="623"/>
      <c r="G111" s="623"/>
      <c r="H111" s="623"/>
      <c r="I111" s="623"/>
      <c r="J111" s="623"/>
    </row>
    <row r="112" spans="1:10" ht="30" customHeight="1">
      <c r="A112" s="626" t="s">
        <v>83</v>
      </c>
      <c r="B112" s="626"/>
      <c r="C112" s="626"/>
      <c r="D112" s="626"/>
      <c r="E112" s="626"/>
      <c r="F112" s="626"/>
      <c r="G112" s="626"/>
      <c r="H112" s="626"/>
      <c r="I112" s="626"/>
      <c r="J112" s="626"/>
    </row>
    <row r="113" spans="1:10" ht="15">
      <c r="A113" s="623"/>
      <c r="B113" s="623"/>
      <c r="C113" s="623"/>
      <c r="D113" s="623"/>
      <c r="E113" s="623"/>
      <c r="F113" s="623"/>
      <c r="G113" s="623"/>
      <c r="H113" s="623"/>
      <c r="I113" s="623"/>
      <c r="J113" s="623"/>
    </row>
    <row r="114" spans="1:10" ht="15">
      <c r="A114" s="620"/>
      <c r="B114" s="620"/>
      <c r="C114" s="620"/>
      <c r="D114" s="620"/>
      <c r="E114" s="620"/>
      <c r="F114" s="620"/>
      <c r="G114" s="620"/>
      <c r="H114" s="620"/>
      <c r="I114" s="620"/>
      <c r="J114" s="620"/>
    </row>
    <row r="115" spans="1:10" ht="15" customHeight="1">
      <c r="A115" s="623" t="s">
        <v>84</v>
      </c>
      <c r="B115" s="623"/>
      <c r="C115" s="623"/>
      <c r="D115" s="623"/>
      <c r="E115" s="623"/>
      <c r="F115" s="623"/>
      <c r="G115" s="623"/>
      <c r="H115" s="623"/>
      <c r="I115" s="623"/>
      <c r="J115" s="623"/>
    </row>
    <row r="116" spans="1:10" ht="15">
      <c r="A116" s="623"/>
      <c r="B116" s="623"/>
      <c r="C116" s="623"/>
      <c r="D116" s="623"/>
      <c r="E116" s="623"/>
      <c r="F116" s="623"/>
      <c r="G116" s="623"/>
      <c r="H116" s="623"/>
      <c r="I116" s="623"/>
      <c r="J116" s="623"/>
    </row>
    <row r="117" spans="1:10" ht="15" customHeight="1">
      <c r="A117" s="623" t="s">
        <v>85</v>
      </c>
      <c r="B117" s="623"/>
      <c r="C117" s="623"/>
      <c r="D117" s="623"/>
      <c r="E117" s="623"/>
      <c r="F117" s="623"/>
      <c r="G117" s="623"/>
      <c r="H117" s="623"/>
      <c r="I117" s="623"/>
      <c r="J117" s="623"/>
    </row>
    <row r="118" spans="1:10" ht="15" customHeight="1">
      <c r="A118" s="623" t="s">
        <v>86</v>
      </c>
      <c r="B118" s="623"/>
      <c r="C118" s="623"/>
      <c r="D118" s="623"/>
      <c r="E118" s="623"/>
      <c r="F118" s="623"/>
      <c r="G118" s="623"/>
      <c r="H118" s="623"/>
      <c r="I118" s="623"/>
      <c r="J118" s="623"/>
    </row>
    <row r="119" spans="1:10" ht="30" customHeight="1">
      <c r="A119" s="623" t="s">
        <v>87</v>
      </c>
      <c r="B119" s="623"/>
      <c r="C119" s="623"/>
      <c r="D119" s="623"/>
      <c r="E119" s="623"/>
      <c r="F119" s="623"/>
      <c r="G119" s="623"/>
      <c r="H119" s="623"/>
      <c r="I119" s="623"/>
      <c r="J119" s="623"/>
    </row>
    <row r="120" spans="1:10" ht="30" customHeight="1">
      <c r="A120" s="623" t="s">
        <v>88</v>
      </c>
      <c r="B120" s="623"/>
      <c r="C120" s="623"/>
      <c r="D120" s="623"/>
      <c r="E120" s="623"/>
      <c r="F120" s="623"/>
      <c r="G120" s="623"/>
      <c r="H120" s="623"/>
      <c r="I120" s="623"/>
      <c r="J120" s="623"/>
    </row>
    <row r="121" spans="1:10" ht="15" customHeight="1">
      <c r="A121" s="623" t="s">
        <v>89</v>
      </c>
      <c r="B121" s="623"/>
      <c r="C121" s="623"/>
      <c r="D121" s="623"/>
      <c r="E121" s="623"/>
      <c r="F121" s="623"/>
      <c r="G121" s="623"/>
      <c r="H121" s="623"/>
      <c r="I121" s="623"/>
      <c r="J121" s="623"/>
    </row>
    <row r="122" spans="1:10" ht="15">
      <c r="A122" s="623"/>
      <c r="B122" s="623"/>
      <c r="C122" s="623"/>
      <c r="D122" s="623"/>
      <c r="E122" s="623"/>
      <c r="F122" s="623"/>
      <c r="G122" s="623"/>
      <c r="H122" s="623"/>
      <c r="I122" s="623"/>
      <c r="J122" s="623"/>
    </row>
    <row r="123" spans="1:10" ht="60" customHeight="1">
      <c r="A123" s="623" t="s">
        <v>90</v>
      </c>
      <c r="B123" s="623"/>
      <c r="C123" s="623"/>
      <c r="D123" s="623"/>
      <c r="E123" s="623"/>
      <c r="F123" s="623"/>
      <c r="G123" s="623"/>
      <c r="H123" s="623"/>
      <c r="I123" s="623"/>
      <c r="J123" s="623"/>
    </row>
    <row r="124" spans="1:10" ht="15">
      <c r="A124" s="623"/>
      <c r="B124" s="623"/>
      <c r="C124" s="623"/>
      <c r="D124" s="623"/>
      <c r="E124" s="623"/>
      <c r="F124" s="623"/>
      <c r="G124" s="623"/>
      <c r="H124" s="623"/>
      <c r="I124" s="623"/>
      <c r="J124" s="623"/>
    </row>
    <row r="125" spans="1:10" ht="15" customHeight="1">
      <c r="A125" s="626" t="s">
        <v>91</v>
      </c>
      <c r="B125" s="626"/>
      <c r="C125" s="626"/>
      <c r="D125" s="626"/>
      <c r="E125" s="626"/>
      <c r="F125" s="626"/>
      <c r="G125" s="626"/>
      <c r="H125" s="626"/>
      <c r="I125" s="626"/>
      <c r="J125" s="626"/>
    </row>
    <row r="126" spans="1:10" ht="45" customHeight="1">
      <c r="A126" s="623" t="s">
        <v>92</v>
      </c>
      <c r="B126" s="623"/>
      <c r="C126" s="623"/>
      <c r="D126" s="623"/>
      <c r="E126" s="623"/>
      <c r="F126" s="623"/>
      <c r="G126" s="623"/>
      <c r="H126" s="623"/>
      <c r="I126" s="623"/>
      <c r="J126" s="623"/>
    </row>
    <row r="127" spans="1:10" ht="30" customHeight="1">
      <c r="A127" s="623" t="s">
        <v>93</v>
      </c>
      <c r="B127" s="623"/>
      <c r="C127" s="623"/>
      <c r="D127" s="623"/>
      <c r="E127" s="623"/>
      <c r="F127" s="623"/>
      <c r="G127" s="623"/>
      <c r="H127" s="623"/>
      <c r="I127" s="623"/>
      <c r="J127" s="623"/>
    </row>
    <row r="128" spans="1:10" ht="15" customHeight="1">
      <c r="A128" s="623" t="s">
        <v>94</v>
      </c>
      <c r="B128" s="623"/>
      <c r="C128" s="623"/>
      <c r="D128" s="623"/>
      <c r="E128" s="623"/>
      <c r="F128" s="623"/>
      <c r="G128" s="623"/>
      <c r="H128" s="623"/>
      <c r="I128" s="623"/>
      <c r="J128" s="623"/>
    </row>
    <row r="129" spans="1:10" ht="60" customHeight="1">
      <c r="A129" s="623" t="s">
        <v>130</v>
      </c>
      <c r="B129" s="623"/>
      <c r="C129" s="623"/>
      <c r="D129" s="623"/>
      <c r="E129" s="623"/>
      <c r="F129" s="623"/>
      <c r="G129" s="623"/>
      <c r="H129" s="623"/>
      <c r="I129" s="623"/>
      <c r="J129" s="623"/>
    </row>
    <row r="130" spans="1:10" ht="15">
      <c r="A130" s="620"/>
      <c r="B130" s="620"/>
      <c r="C130" s="620"/>
      <c r="D130" s="620"/>
      <c r="E130" s="620"/>
      <c r="F130" s="620"/>
      <c r="G130" s="620"/>
      <c r="H130" s="620"/>
      <c r="I130" s="620"/>
      <c r="J130" s="620"/>
    </row>
    <row r="131" spans="1:10" ht="15">
      <c r="A131" s="621"/>
      <c r="B131" s="621"/>
      <c r="C131" s="621"/>
      <c r="D131" s="621"/>
      <c r="E131" s="621"/>
      <c r="F131" s="621"/>
      <c r="G131" s="621"/>
      <c r="H131" s="621"/>
      <c r="I131" s="621"/>
      <c r="J131" s="621"/>
    </row>
    <row r="132" spans="1:10" ht="15">
      <c r="A132" s="620"/>
      <c r="B132" s="620"/>
      <c r="C132" s="620"/>
      <c r="D132" s="620"/>
      <c r="E132" s="620"/>
      <c r="F132" s="620"/>
      <c r="G132" s="620"/>
      <c r="H132" s="620"/>
      <c r="I132" s="620"/>
      <c r="J132" s="620"/>
    </row>
    <row r="133" spans="1:10" ht="30.75" customHeight="1">
      <c r="A133" s="623" t="s">
        <v>95</v>
      </c>
      <c r="B133" s="623"/>
      <c r="C133" s="623"/>
      <c r="D133" s="623"/>
      <c r="E133" s="623"/>
      <c r="F133" s="623"/>
      <c r="G133" s="623"/>
      <c r="H133" s="623"/>
      <c r="I133" s="623"/>
      <c r="J133" s="623"/>
    </row>
    <row r="134" spans="1:10" ht="15">
      <c r="A134" s="28"/>
      <c r="B134" s="29"/>
      <c r="C134" s="29"/>
      <c r="D134" s="29"/>
      <c r="E134" s="29"/>
      <c r="F134" s="29"/>
      <c r="G134" s="29"/>
      <c r="H134" s="29"/>
      <c r="I134" s="29"/>
      <c r="J134" s="29"/>
    </row>
    <row r="135" spans="1:10" ht="43.5" customHeight="1">
      <c r="A135" s="628" t="s">
        <v>96</v>
      </c>
      <c r="B135" s="628"/>
      <c r="C135" s="628"/>
      <c r="D135" s="628"/>
      <c r="E135" s="628"/>
      <c r="F135" s="628"/>
      <c r="G135" s="628"/>
      <c r="H135" s="628"/>
      <c r="I135" s="628"/>
      <c r="J135" s="628"/>
    </row>
    <row r="136" spans="1:10" ht="15">
      <c r="A136" s="627"/>
      <c r="B136" s="627"/>
      <c r="C136" s="627"/>
      <c r="D136" s="627"/>
      <c r="E136" s="627"/>
      <c r="F136" s="627"/>
      <c r="G136" s="627"/>
      <c r="H136" s="627"/>
      <c r="I136" s="627"/>
      <c r="J136" s="627"/>
    </row>
  </sheetData>
  <sheetProtection/>
  <mergeCells count="41">
    <mergeCell ref="A130:J130"/>
    <mergeCell ref="A131:J131"/>
    <mergeCell ref="A132:J132"/>
    <mergeCell ref="A133:J133"/>
    <mergeCell ref="A135:J135"/>
    <mergeCell ref="A120:J120"/>
    <mergeCell ref="A121:J121"/>
    <mergeCell ref="A122:J122"/>
    <mergeCell ref="A136:J136"/>
    <mergeCell ref="A124:J124"/>
    <mergeCell ref="A125:J125"/>
    <mergeCell ref="A126:J126"/>
    <mergeCell ref="A127:J127"/>
    <mergeCell ref="A128:J128"/>
    <mergeCell ref="A129:J129"/>
    <mergeCell ref="A110:J110"/>
    <mergeCell ref="A123:J123"/>
    <mergeCell ref="A112:J112"/>
    <mergeCell ref="A113:J113"/>
    <mergeCell ref="A114:J114"/>
    <mergeCell ref="A115:J115"/>
    <mergeCell ref="A116:J116"/>
    <mergeCell ref="A117:J117"/>
    <mergeCell ref="A118:J118"/>
    <mergeCell ref="A119:J119"/>
    <mergeCell ref="A96:J96"/>
    <mergeCell ref="A97:J97"/>
    <mergeCell ref="A98:J98"/>
    <mergeCell ref="A99:J99"/>
    <mergeCell ref="A108:J108"/>
    <mergeCell ref="A109:J109"/>
    <mergeCell ref="A85:J85"/>
    <mergeCell ref="A86:J86"/>
    <mergeCell ref="A87:J87"/>
    <mergeCell ref="A89:J89"/>
    <mergeCell ref="A91:J91"/>
    <mergeCell ref="A111:J111"/>
    <mergeCell ref="A92:J92"/>
    <mergeCell ref="A93:J93"/>
    <mergeCell ref="A94:J94"/>
    <mergeCell ref="A95:J9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0">
      <selection activeCell="K33" sqref="K33"/>
    </sheetView>
  </sheetViews>
  <sheetFormatPr defaultColWidth="9.140625" defaultRowHeight="15"/>
  <cols>
    <col min="2" max="2" width="40.7109375" style="0" customWidth="1"/>
  </cols>
  <sheetData>
    <row r="1" spans="1:6" ht="23.25">
      <c r="A1" s="629" t="s">
        <v>644</v>
      </c>
      <c r="B1" s="629"/>
      <c r="C1" s="629"/>
      <c r="D1" s="629"/>
      <c r="E1" s="629"/>
      <c r="F1" s="629"/>
    </row>
    <row r="3" spans="1:6" ht="15.75">
      <c r="A3" s="447"/>
      <c r="B3" s="447"/>
      <c r="C3" s="447" t="s">
        <v>645</v>
      </c>
      <c r="D3" s="447" t="s">
        <v>646</v>
      </c>
      <c r="E3" s="447" t="s">
        <v>647</v>
      </c>
      <c r="F3" s="447" t="s">
        <v>73</v>
      </c>
    </row>
    <row r="4" spans="1:6" ht="15">
      <c r="A4" s="437">
        <v>1</v>
      </c>
      <c r="B4" s="430" t="s">
        <v>235</v>
      </c>
      <c r="C4" s="438">
        <v>3</v>
      </c>
      <c r="D4" s="438">
        <v>1</v>
      </c>
      <c r="E4" s="438">
        <v>1</v>
      </c>
      <c r="F4" s="438">
        <f aca="true" t="shared" si="0" ref="F4:F19">SUM(C4:E4)</f>
        <v>5</v>
      </c>
    </row>
    <row r="5" spans="1:6" ht="15">
      <c r="A5" s="439">
        <v>2</v>
      </c>
      <c r="B5" s="440" t="s">
        <v>46</v>
      </c>
      <c r="C5" s="441">
        <v>2</v>
      </c>
      <c r="D5" s="441"/>
      <c r="E5" s="441">
        <v>1</v>
      </c>
      <c r="F5" s="441">
        <f t="shared" si="0"/>
        <v>3</v>
      </c>
    </row>
    <row r="6" spans="1:6" ht="15">
      <c r="A6" s="442">
        <v>3</v>
      </c>
      <c r="B6" s="443" t="s">
        <v>15</v>
      </c>
      <c r="C6" s="444">
        <v>1</v>
      </c>
      <c r="D6" s="444">
        <v>1</v>
      </c>
      <c r="E6" s="444">
        <v>1</v>
      </c>
      <c r="F6" s="444">
        <f t="shared" si="0"/>
        <v>3</v>
      </c>
    </row>
    <row r="7" spans="1:6" ht="15">
      <c r="A7" s="445">
        <v>4</v>
      </c>
      <c r="B7" s="433" t="s">
        <v>20</v>
      </c>
      <c r="C7" s="446">
        <v>1</v>
      </c>
      <c r="D7" s="446">
        <v>1</v>
      </c>
      <c r="E7" s="446"/>
      <c r="F7" s="446">
        <f t="shared" si="0"/>
        <v>2</v>
      </c>
    </row>
    <row r="8" spans="1:6" ht="15">
      <c r="A8" s="445">
        <v>5</v>
      </c>
      <c r="B8" s="433" t="s">
        <v>50</v>
      </c>
      <c r="C8" s="446">
        <v>1</v>
      </c>
      <c r="D8" s="446"/>
      <c r="E8" s="446"/>
      <c r="F8" s="446">
        <f t="shared" si="0"/>
        <v>1</v>
      </c>
    </row>
    <row r="9" spans="1:6" ht="26.25">
      <c r="A9" s="445">
        <v>6</v>
      </c>
      <c r="B9" s="434" t="s">
        <v>232</v>
      </c>
      <c r="C9" s="446">
        <v>1</v>
      </c>
      <c r="D9" s="446"/>
      <c r="E9" s="446"/>
      <c r="F9" s="446">
        <f t="shared" si="0"/>
        <v>1</v>
      </c>
    </row>
    <row r="10" spans="1:6" ht="15">
      <c r="A10" s="445">
        <v>7</v>
      </c>
      <c r="B10" s="433" t="s">
        <v>120</v>
      </c>
      <c r="C10" s="446"/>
      <c r="D10" s="446">
        <v>1</v>
      </c>
      <c r="E10" s="446">
        <v>1</v>
      </c>
      <c r="F10" s="446">
        <f t="shared" si="0"/>
        <v>2</v>
      </c>
    </row>
    <row r="11" spans="1:6" ht="15">
      <c r="A11" s="445">
        <v>8</v>
      </c>
      <c r="B11" s="433" t="s">
        <v>39</v>
      </c>
      <c r="C11" s="446"/>
      <c r="D11" s="446">
        <v>1</v>
      </c>
      <c r="E11" s="446">
        <v>1</v>
      </c>
      <c r="F11" s="446">
        <f t="shared" si="0"/>
        <v>2</v>
      </c>
    </row>
    <row r="12" spans="1:6" ht="15">
      <c r="A12" s="436">
        <v>9</v>
      </c>
      <c r="B12" s="432" t="s">
        <v>25</v>
      </c>
      <c r="C12" s="431"/>
      <c r="D12" s="431">
        <v>1</v>
      </c>
      <c r="E12" s="431"/>
      <c r="F12" s="431">
        <f t="shared" si="0"/>
        <v>1</v>
      </c>
    </row>
    <row r="13" spans="1:6" ht="15">
      <c r="A13" s="436">
        <v>10</v>
      </c>
      <c r="B13" s="435" t="s">
        <v>13</v>
      </c>
      <c r="C13" s="431"/>
      <c r="D13" s="431">
        <v>1</v>
      </c>
      <c r="E13" s="431"/>
      <c r="F13" s="431">
        <f t="shared" si="0"/>
        <v>1</v>
      </c>
    </row>
    <row r="14" spans="1:6" ht="15">
      <c r="A14" s="436">
        <v>11</v>
      </c>
      <c r="B14" s="433" t="s">
        <v>643</v>
      </c>
      <c r="C14" s="431"/>
      <c r="D14" s="431">
        <v>1</v>
      </c>
      <c r="E14" s="431"/>
      <c r="F14" s="431">
        <f t="shared" si="0"/>
        <v>1</v>
      </c>
    </row>
    <row r="15" spans="1:6" ht="15">
      <c r="A15" s="436">
        <v>12</v>
      </c>
      <c r="B15" s="432" t="s">
        <v>38</v>
      </c>
      <c r="C15" s="431"/>
      <c r="D15" s="431">
        <v>1</v>
      </c>
      <c r="E15" s="431"/>
      <c r="F15" s="431">
        <f t="shared" si="0"/>
        <v>1</v>
      </c>
    </row>
    <row r="16" spans="1:6" ht="15">
      <c r="A16" s="436">
        <v>13</v>
      </c>
      <c r="B16" s="433" t="s">
        <v>642</v>
      </c>
      <c r="C16" s="431"/>
      <c r="D16" s="431"/>
      <c r="E16" s="431">
        <v>1</v>
      </c>
      <c r="F16" s="431">
        <f t="shared" si="0"/>
        <v>1</v>
      </c>
    </row>
    <row r="17" spans="1:6" ht="15">
      <c r="A17" s="436">
        <v>14</v>
      </c>
      <c r="B17" s="432" t="s">
        <v>41</v>
      </c>
      <c r="C17" s="431"/>
      <c r="D17" s="431"/>
      <c r="E17" s="431">
        <v>1</v>
      </c>
      <c r="F17" s="431">
        <f t="shared" si="0"/>
        <v>1</v>
      </c>
    </row>
    <row r="18" spans="1:6" ht="15">
      <c r="A18" s="436">
        <v>15</v>
      </c>
      <c r="B18" s="434" t="s">
        <v>29</v>
      </c>
      <c r="C18" s="431"/>
      <c r="D18" s="431"/>
      <c r="E18" s="431">
        <v>1</v>
      </c>
      <c r="F18" s="431">
        <f t="shared" si="0"/>
        <v>1</v>
      </c>
    </row>
    <row r="19" spans="1:6" ht="15">
      <c r="A19" s="436">
        <v>16</v>
      </c>
      <c r="B19" s="433" t="s">
        <v>126</v>
      </c>
      <c r="C19" s="431"/>
      <c r="D19" s="431"/>
      <c r="E19" s="431">
        <v>1</v>
      </c>
      <c r="F19" s="431">
        <f t="shared" si="0"/>
        <v>1</v>
      </c>
    </row>
    <row r="21" spans="1:6" ht="23.25">
      <c r="A21" s="629" t="s">
        <v>648</v>
      </c>
      <c r="B21" s="629"/>
      <c r="C21" s="629"/>
      <c r="D21" s="629"/>
      <c r="E21" s="629"/>
      <c r="F21" s="629"/>
    </row>
    <row r="22" spans="1:6" ht="15">
      <c r="A22" s="429"/>
      <c r="B22" s="429"/>
      <c r="C22" s="429"/>
      <c r="D22" s="429"/>
      <c r="E22" s="429"/>
      <c r="F22" s="429"/>
    </row>
    <row r="23" spans="1:6" ht="15.75">
      <c r="A23" s="447"/>
      <c r="B23" s="447"/>
      <c r="C23" s="447" t="s">
        <v>645</v>
      </c>
      <c r="D23" s="447" t="s">
        <v>646</v>
      </c>
      <c r="E23" s="447" t="s">
        <v>647</v>
      </c>
      <c r="F23" s="447" t="s">
        <v>73</v>
      </c>
    </row>
    <row r="24" spans="1:6" ht="15">
      <c r="A24" s="437">
        <v>1</v>
      </c>
      <c r="B24" s="430" t="s">
        <v>235</v>
      </c>
      <c r="C24" s="438">
        <v>3</v>
      </c>
      <c r="D24" s="438">
        <v>1</v>
      </c>
      <c r="E24" s="438">
        <v>1</v>
      </c>
      <c r="F24" s="438">
        <f>SUM(C24:E24)</f>
        <v>5</v>
      </c>
    </row>
    <row r="25" spans="1:6" ht="15">
      <c r="A25" s="439">
        <v>2</v>
      </c>
      <c r="B25" s="440" t="s">
        <v>15</v>
      </c>
      <c r="C25" s="441">
        <v>2</v>
      </c>
      <c r="D25" s="441">
        <v>1</v>
      </c>
      <c r="E25" s="441">
        <v>1</v>
      </c>
      <c r="F25" s="441">
        <f aca="true" t="shared" si="1" ref="F25:F39">SUM(C25:E25)</f>
        <v>4</v>
      </c>
    </row>
    <row r="26" spans="1:6" ht="15">
      <c r="A26" s="442">
        <v>3</v>
      </c>
      <c r="B26" s="443" t="s">
        <v>46</v>
      </c>
      <c r="C26" s="444">
        <v>2</v>
      </c>
      <c r="D26" s="444"/>
      <c r="E26" s="444">
        <v>1</v>
      </c>
      <c r="F26" s="444">
        <f t="shared" si="1"/>
        <v>3</v>
      </c>
    </row>
    <row r="27" spans="1:6" ht="15">
      <c r="A27" s="445">
        <v>4</v>
      </c>
      <c r="B27" s="433" t="s">
        <v>20</v>
      </c>
      <c r="C27" s="446">
        <v>1</v>
      </c>
      <c r="D27" s="446">
        <v>1</v>
      </c>
      <c r="E27" s="446"/>
      <c r="F27" s="446">
        <f t="shared" si="1"/>
        <v>2</v>
      </c>
    </row>
    <row r="28" spans="1:6" ht="26.25">
      <c r="A28" s="445">
        <v>5</v>
      </c>
      <c r="B28" s="434" t="s">
        <v>232</v>
      </c>
      <c r="C28" s="446">
        <v>1</v>
      </c>
      <c r="D28" s="446"/>
      <c r="E28" s="446">
        <v>1</v>
      </c>
      <c r="F28" s="446">
        <f t="shared" si="1"/>
        <v>2</v>
      </c>
    </row>
    <row r="29" spans="1:6" ht="15">
      <c r="A29" s="445">
        <v>6</v>
      </c>
      <c r="B29" s="433" t="s">
        <v>50</v>
      </c>
      <c r="C29" s="446">
        <v>1</v>
      </c>
      <c r="D29" s="446"/>
      <c r="E29" s="446"/>
      <c r="F29" s="446">
        <f t="shared" si="1"/>
        <v>1</v>
      </c>
    </row>
    <row r="30" spans="1:6" ht="15">
      <c r="A30" s="445">
        <v>7</v>
      </c>
      <c r="B30" s="433" t="s">
        <v>643</v>
      </c>
      <c r="C30" s="431"/>
      <c r="D30" s="431">
        <v>2</v>
      </c>
      <c r="E30" s="431"/>
      <c r="F30" s="431">
        <f t="shared" si="1"/>
        <v>2</v>
      </c>
    </row>
    <row r="31" spans="1:6" ht="15">
      <c r="A31" s="445">
        <v>8</v>
      </c>
      <c r="B31" s="433" t="s">
        <v>120</v>
      </c>
      <c r="C31" s="446"/>
      <c r="D31" s="446">
        <v>1</v>
      </c>
      <c r="E31" s="446">
        <v>1</v>
      </c>
      <c r="F31" s="446">
        <f t="shared" si="1"/>
        <v>2</v>
      </c>
    </row>
    <row r="32" spans="1:6" ht="15">
      <c r="A32" s="436">
        <v>9</v>
      </c>
      <c r="B32" s="433" t="s">
        <v>39</v>
      </c>
      <c r="C32" s="446"/>
      <c r="D32" s="446">
        <v>1</v>
      </c>
      <c r="E32" s="446">
        <v>1</v>
      </c>
      <c r="F32" s="446">
        <f t="shared" si="1"/>
        <v>2</v>
      </c>
    </row>
    <row r="33" spans="1:6" ht="15">
      <c r="A33" s="436">
        <v>10</v>
      </c>
      <c r="B33" s="432" t="s">
        <v>25</v>
      </c>
      <c r="C33" s="431"/>
      <c r="D33" s="431">
        <v>1</v>
      </c>
      <c r="E33" s="431"/>
      <c r="F33" s="431">
        <f t="shared" si="1"/>
        <v>1</v>
      </c>
    </row>
    <row r="34" spans="1:6" ht="15">
      <c r="A34" s="436">
        <v>11</v>
      </c>
      <c r="B34" s="435" t="s">
        <v>13</v>
      </c>
      <c r="C34" s="431"/>
      <c r="D34" s="431">
        <v>1</v>
      </c>
      <c r="E34" s="431"/>
      <c r="F34" s="431">
        <f t="shared" si="1"/>
        <v>1</v>
      </c>
    </row>
    <row r="35" spans="1:6" ht="15">
      <c r="A35" s="436">
        <v>12</v>
      </c>
      <c r="B35" s="432" t="s">
        <v>38</v>
      </c>
      <c r="C35" s="431"/>
      <c r="D35" s="431">
        <v>1</v>
      </c>
      <c r="E35" s="431"/>
      <c r="F35" s="431">
        <f t="shared" si="1"/>
        <v>1</v>
      </c>
    </row>
    <row r="36" spans="1:6" ht="15">
      <c r="A36" s="436">
        <v>13</v>
      </c>
      <c r="B36" s="433" t="s">
        <v>642</v>
      </c>
      <c r="C36" s="431"/>
      <c r="D36" s="431"/>
      <c r="E36" s="431">
        <v>1</v>
      </c>
      <c r="F36" s="431">
        <f t="shared" si="1"/>
        <v>1</v>
      </c>
    </row>
    <row r="37" spans="1:6" ht="15">
      <c r="A37" s="436">
        <v>14</v>
      </c>
      <c r="B37" s="432" t="s">
        <v>41</v>
      </c>
      <c r="C37" s="431"/>
      <c r="D37" s="431"/>
      <c r="E37" s="431">
        <v>1</v>
      </c>
      <c r="F37" s="431">
        <f t="shared" si="1"/>
        <v>1</v>
      </c>
    </row>
    <row r="38" spans="1:6" ht="15">
      <c r="A38" s="436">
        <v>15</v>
      </c>
      <c r="B38" s="434" t="s">
        <v>29</v>
      </c>
      <c r="C38" s="431"/>
      <c r="D38" s="431"/>
      <c r="E38" s="431">
        <v>1</v>
      </c>
      <c r="F38" s="431">
        <f t="shared" si="1"/>
        <v>1</v>
      </c>
    </row>
    <row r="39" spans="1:6" ht="15">
      <c r="A39" s="436">
        <v>16</v>
      </c>
      <c r="B39" s="433" t="s">
        <v>126</v>
      </c>
      <c r="C39" s="431"/>
      <c r="D39" s="431"/>
      <c r="E39" s="431">
        <v>1</v>
      </c>
      <c r="F39" s="431">
        <f t="shared" si="1"/>
        <v>1</v>
      </c>
    </row>
  </sheetData>
  <sheetProtection/>
  <mergeCells count="2">
    <mergeCell ref="A1:F1"/>
    <mergeCell ref="A21:F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mitrofal</dc:creator>
  <cp:keywords/>
  <dc:description/>
  <cp:lastModifiedBy>Покалов Валентин Андреевич</cp:lastModifiedBy>
  <dcterms:created xsi:type="dcterms:W3CDTF">2013-09-23T10:01:08Z</dcterms:created>
  <dcterms:modified xsi:type="dcterms:W3CDTF">2016-01-12T08:28:07Z</dcterms:modified>
  <cp:category/>
  <cp:version/>
  <cp:contentType/>
  <cp:contentStatus/>
</cp:coreProperties>
</file>