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95" yWindow="165" windowWidth="11220" windowHeight="10695" tabRatio="752" activeTab="0"/>
  </bookViews>
  <sheets>
    <sheet name="Лист1" sheetId="1" r:id="rId1"/>
    <sheet name="Профи-Опен" sheetId="2" r:id="rId2"/>
    <sheet name="ФФП" sheetId="3" r:id="rId3"/>
    <sheet name="Форвард" sheetId="4" r:id="rId4"/>
    <sheet name="Торпедо" sheetId="5" r:id="rId5"/>
    <sheet name="Спартакиада" sheetId="6" r:id="rId6"/>
    <sheet name="Очки" sheetId="7" r:id="rId7"/>
    <sheet name="Лист2" sheetId="8" r:id="rId8"/>
    <sheet name="Лист3" sheetId="9" r:id="rId9"/>
  </sheets>
  <definedNames>
    <definedName name="_xlnm._FilterDatabase" localSheetId="0" hidden="1">'Лист1'!$A$3:$AM$53</definedName>
    <definedName name="_xlnm._FilterDatabase" localSheetId="2" hidden="1">'ФФП'!$B$2:$L$44</definedName>
  </definedNames>
  <calcPr fullCalcOnLoad="1"/>
</workbook>
</file>

<file path=xl/sharedStrings.xml><?xml version="1.0" encoding="utf-8"?>
<sst xmlns="http://schemas.openxmlformats.org/spreadsheetml/2006/main" count="1647" uniqueCount="609">
  <si>
    <t>№</t>
  </si>
  <si>
    <t>И</t>
  </si>
  <si>
    <t>В</t>
  </si>
  <si>
    <t>Н</t>
  </si>
  <si>
    <t>П</t>
  </si>
  <si>
    <t>Р/М</t>
  </si>
  <si>
    <t>О</t>
  </si>
  <si>
    <t>АФК-Кузбасс</t>
  </si>
  <si>
    <t>VOON.RU</t>
  </si>
  <si>
    <t>Fprognoz.com</t>
  </si>
  <si>
    <t>КФП_Арсенал</t>
  </si>
  <si>
    <t>liga1.ru</t>
  </si>
  <si>
    <t>KFP.RU</t>
  </si>
  <si>
    <t>Onedivision</t>
  </si>
  <si>
    <t>7-40</t>
  </si>
  <si>
    <t>КЛФП_Харьков</t>
  </si>
  <si>
    <t>АСП_Погоня</t>
  </si>
  <si>
    <t>МКСП_Альянс</t>
  </si>
  <si>
    <t>sportgiant.net</t>
  </si>
  <si>
    <t>ФК_Форвард</t>
  </si>
  <si>
    <t>Kuban.ru</t>
  </si>
  <si>
    <t>Профессионалы_прогноза</t>
  </si>
  <si>
    <t>PrimeGang</t>
  </si>
  <si>
    <t>Время проведения</t>
  </si>
  <si>
    <t xml:space="preserve">с </t>
  </si>
  <si>
    <t>по</t>
  </si>
  <si>
    <t>М</t>
  </si>
  <si>
    <t>Команда</t>
  </si>
  <si>
    <t>Всего</t>
  </si>
  <si>
    <t>Очки за место</t>
  </si>
  <si>
    <t>Бонус</t>
  </si>
  <si>
    <t>Место</t>
  </si>
  <si>
    <t>Очки</t>
  </si>
  <si>
    <t>1.3.  Начисление очков в Турнире Четырех: "KFP-VOON-TORPEDO-PROFI Series"</t>
  </si>
  <si>
    <t>Статистику и официальный подсчет рейтинга Серии ведет Александр Митрофанов (MAI).</t>
  </si>
  <si>
    <t>По итогам каждого входящего в Серию турнира командам начисляются очки, которые складываются из двух составляющих:</t>
  </si>
  <si>
    <r>
      <t xml:space="preserve">1.3.1. </t>
    </r>
    <r>
      <rPr>
        <b/>
        <sz val="12"/>
        <color indexed="8"/>
        <rFont val="Verdana"/>
        <family val="2"/>
      </rPr>
      <t xml:space="preserve">Очки за занятое место.  </t>
    </r>
    <r>
      <rPr>
        <sz val="12"/>
        <color indexed="8"/>
        <rFont val="Verdana"/>
        <family val="2"/>
      </rPr>
      <t>Оцениваются первые 30 мест. Команды, занявшие места ниже тридцатого, очков не получают. Если в отдельно взятом турнире играют меньше 30 команд, то это не сказывается на участниках. Очки команды получают согласно занятому месту и прилагаемой таблице.</t>
    </r>
  </si>
  <si>
    <t>Если после предварительного этапа, команды, не прошедшие в финал, не разыгрывают места с n-ного и командам ставится что они заняли n-m место, для определения набранных очков складываются очки за места, начиная с n и заканчивая m и делятся на количество складываемых мест.</t>
  </si>
  <si>
    <r>
      <t>Например</t>
    </r>
    <r>
      <rPr>
        <sz val="12"/>
        <color indexed="8"/>
        <rFont val="Verdana"/>
        <family val="2"/>
      </rPr>
      <t>: команда заняла 21-24 место. Набранные очки = (10+9+8+7)/4=8,5.</t>
    </r>
  </si>
  <si>
    <r>
      <t>1.3.2.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Verdana"/>
        <family val="2"/>
      </rPr>
      <t>Бонус за сыгранные матчи и набранные очки</t>
    </r>
    <r>
      <rPr>
        <sz val="12"/>
        <color indexed="8"/>
        <rFont val="Verdana"/>
        <family val="2"/>
      </rPr>
      <t xml:space="preserve"> по системе 3-1-0.</t>
    </r>
  </si>
  <si>
    <r>
      <t xml:space="preserve">Бонус рассчитывается по формуле:  </t>
    </r>
    <r>
      <rPr>
        <b/>
        <sz val="12"/>
        <color indexed="8"/>
        <rFont val="Verdana"/>
        <family val="2"/>
      </rPr>
      <t>Бонус = ((20-ВТ+И)*О/МО)/2,</t>
    </r>
  </si>
  <si>
    <t xml:space="preserve">где: </t>
  </si>
  <si>
    <t xml:space="preserve">ВТ – Всего туров в турнире, И – Количество игр сыгранное командой, О – Набранные командой очки, </t>
  </si>
  <si>
    <t xml:space="preserve">МО – Максимально возможное количество очков которое могла набрать команда. ( И*3). </t>
  </si>
  <si>
    <t>Бонус округляется до десятых.</t>
  </si>
  <si>
    <t>20 – это условное число (максимальное количество туров для расчета).  Если кто-то из организаторов решит удлинить и провести больше 20 туров, то в формулу будет внесено изменение, чтобы максимально возможный бонус был равен 10.</t>
  </si>
  <si>
    <t xml:space="preserve">Примеры действия формулы: </t>
  </si>
  <si>
    <t>1) В турнире 18 туров, команда чемпион выиграла все. В результате получается. Бонус = ((20-18+18)*54/54)/2 = 10. (максимально возможный бонус)</t>
  </si>
  <si>
    <t>2) В турнире 15 туров. Команда сыграла 10 и не попала в финал набрав 12 очков.</t>
  </si>
  <si>
    <t>Она получает: Бонус = ((20-15+10)*12/30)/2 = 3.</t>
  </si>
  <si>
    <t xml:space="preserve">Очки за место и Бонус складываются и получаются очки команды за турнир.  </t>
  </si>
  <si>
    <t xml:space="preserve">1.4. По итогам сезона 2013/14 в зачет берутся лучшие 3 (три) выступления в турнирах Серии. </t>
  </si>
  <si>
    <t>Сыграно  игр</t>
  </si>
  <si>
    <t>Группа A</t>
  </si>
  <si>
    <t>ЗМ-ПМ</t>
  </si>
  <si>
    <t>ИСХ</t>
  </si>
  <si>
    <t>Н/Я</t>
  </si>
  <si>
    <t>Группа В</t>
  </si>
  <si>
    <t>Группа С</t>
  </si>
  <si>
    <t>Группа D</t>
  </si>
  <si>
    <t>Чемпионат Прогнозов</t>
  </si>
  <si>
    <t>Russian Roulette</t>
  </si>
  <si>
    <t>Kanonir.Com</t>
  </si>
  <si>
    <t>SEclub.org</t>
  </si>
  <si>
    <t>ВФЛ КБК</t>
  </si>
  <si>
    <t>КЛФП-Минск</t>
  </si>
  <si>
    <t>FunkySouls.Com</t>
  </si>
  <si>
    <t>SFP</t>
  </si>
  <si>
    <t>СФП Football.by</t>
  </si>
  <si>
    <t>SportGiant.net</t>
  </si>
  <si>
    <t>29-35</t>
  </si>
  <si>
    <t>36-42</t>
  </si>
  <si>
    <t>Или в том же турнире команда на групповом этапе набрала 20 вышла в финал, но выступила там не удачно проиграв в финале все. В этом случае она проведет все 15 матчей и её бонус составит. Бонус = ((20-15+15)*20/45)/2=4,4</t>
  </si>
  <si>
    <t>29-32</t>
  </si>
  <si>
    <t>25-28</t>
  </si>
  <si>
    <t>17-20</t>
  </si>
  <si>
    <t>21-24</t>
  </si>
  <si>
    <t>33-36</t>
  </si>
  <si>
    <t>9-12</t>
  </si>
  <si>
    <t>13-16</t>
  </si>
  <si>
    <t>Финал</t>
  </si>
  <si>
    <t>ИТОГО PROFI</t>
  </si>
  <si>
    <t>ИТОГО ФФП</t>
  </si>
  <si>
    <t>КСП "Торпедо" им. Эдуарда Стрельцова</t>
  </si>
  <si>
    <t>Лига КСП "Торпедо"</t>
  </si>
  <si>
    <t>ИТОГО Торпедо</t>
  </si>
  <si>
    <t>Красно-Белый Израиль (КБИ)</t>
  </si>
  <si>
    <t>NeXT</t>
  </si>
  <si>
    <t>PRED.SU</t>
  </si>
  <si>
    <t>Группа 1</t>
  </si>
  <si>
    <t>Группа 2</t>
  </si>
  <si>
    <t>Группа 3</t>
  </si>
  <si>
    <t>Группа 4</t>
  </si>
  <si>
    <t>Группа 5</t>
  </si>
  <si>
    <t>25-32</t>
  </si>
  <si>
    <t>33-40</t>
  </si>
  <si>
    <t>41-48</t>
  </si>
  <si>
    <t>Мячи</t>
  </si>
  <si>
    <t>Ис</t>
  </si>
  <si>
    <t>М С</t>
  </si>
  <si>
    <t>21-30</t>
  </si>
  <si>
    <t>11-15</t>
  </si>
  <si>
    <t>16-20</t>
  </si>
  <si>
    <t>31-40</t>
  </si>
  <si>
    <t>штраф</t>
  </si>
  <si>
    <t>19-24</t>
  </si>
  <si>
    <t> 0 </t>
  </si>
  <si>
    <t> +7 </t>
  </si>
  <si>
    <t> 1 </t>
  </si>
  <si>
    <t> -3 </t>
  </si>
  <si>
    <t> +2 </t>
  </si>
  <si>
    <t> +3 </t>
  </si>
  <si>
    <t> +8 </t>
  </si>
  <si>
    <t> -10 </t>
  </si>
  <si>
    <t> -6 </t>
  </si>
  <si>
    <t> -7 </t>
  </si>
  <si>
    <t> +1 </t>
  </si>
  <si>
    <t> +4 </t>
  </si>
  <si>
    <t> -4 </t>
  </si>
  <si>
    <t>25-30</t>
  </si>
  <si>
    <t>31-36</t>
  </si>
  <si>
    <t>37-42</t>
  </si>
  <si>
    <t>43-44</t>
  </si>
  <si>
    <t>RED ARMY</t>
  </si>
  <si>
    <t>КЛФП "Харьков"</t>
  </si>
  <si>
    <t>КФП "Арсенал"</t>
  </si>
  <si>
    <t>Red Anfield</t>
  </si>
  <si>
    <t>Жемчужина Кузбасса</t>
  </si>
  <si>
    <t>Профессионалы прогноза</t>
  </si>
  <si>
    <t>АСП "Погоня"</t>
  </si>
  <si>
    <t>TotalZone.ru</t>
  </si>
  <si>
    <t>LFOP.GURU</t>
  </si>
  <si>
    <t>ФК Форвард</t>
  </si>
  <si>
    <t>КФП Mont Blanc</t>
  </si>
  <si>
    <t>ОЛФП Одесса</t>
  </si>
  <si>
    <t>KUBAN.RU</t>
  </si>
  <si>
    <t>13-18</t>
  </si>
  <si>
    <t>Отбор</t>
  </si>
  <si>
    <t>ИТОГО Эксперт лига</t>
  </si>
  <si>
    <t>5</t>
  </si>
  <si>
    <t>1</t>
  </si>
  <si>
    <t>2</t>
  </si>
  <si>
    <t>3</t>
  </si>
  <si>
    <t>22-28</t>
  </si>
  <si>
    <t>17-21</t>
  </si>
  <si>
    <t>4</t>
  </si>
  <si>
    <t>29-36</t>
  </si>
  <si>
    <t>Второй этап</t>
  </si>
  <si>
    <t>5-8</t>
  </si>
  <si>
    <t>13-15</t>
  </si>
  <si>
    <t>23-24</t>
  </si>
  <si>
    <t>Alduda Team</t>
  </si>
  <si>
    <t>CONFIANZA</t>
  </si>
  <si>
    <t>Призеры девяти серий</t>
  </si>
  <si>
    <t>Золото</t>
  </si>
  <si>
    <t>Серебро</t>
  </si>
  <si>
    <t>Бронза</t>
  </si>
  <si>
    <t>Призеры Десяти</t>
  </si>
  <si>
    <t>Сборная Мегаспорта</t>
  </si>
  <si>
    <t>Funkysouls.com</t>
  </si>
  <si>
    <t>13-14</t>
  </si>
  <si>
    <t>9-16</t>
  </si>
  <si>
    <t> +9 </t>
  </si>
  <si>
    <t>37-40</t>
  </si>
  <si>
    <t>Групповой турнир.</t>
  </si>
  <si>
    <t>22-24</t>
  </si>
  <si>
    <t> 1. </t>
  </si>
  <si>
    <t> 2. </t>
  </si>
  <si>
    <t>SaSiSa</t>
  </si>
  <si>
    <t>21-23</t>
  </si>
  <si>
    <t>24-27</t>
  </si>
  <si>
    <t>28-31</t>
  </si>
  <si>
    <t>32-35</t>
  </si>
  <si>
    <t>Спартакиада</t>
  </si>
  <si>
    <t>fpk-prognoz.ru</t>
  </si>
  <si>
    <t>ЧФД</t>
  </si>
  <si>
    <t>Хищники</t>
  </si>
  <si>
    <t>Милан</t>
  </si>
  <si>
    <t>eurocups.ru</t>
  </si>
  <si>
    <t>LEDI Ок</t>
  </si>
  <si>
    <t>mlfpa.ru</t>
  </si>
  <si>
    <t>ИТОГО Спартакиада</t>
  </si>
  <si>
    <t>31-32</t>
  </si>
  <si>
    <t>Эксперты IBUprog</t>
  </si>
  <si>
    <t>Группа C</t>
  </si>
  <si>
    <t>Группа E</t>
  </si>
  <si>
    <t>17-18</t>
  </si>
  <si>
    <t>9-10</t>
  </si>
  <si>
    <t>11-12</t>
  </si>
  <si>
    <t>15-16</t>
  </si>
  <si>
    <t>19-20</t>
  </si>
  <si>
    <t>м</t>
  </si>
  <si>
    <t>7-9</t>
  </si>
  <si>
    <t>10-12</t>
  </si>
  <si>
    <t>16-18</t>
  </si>
  <si>
    <t>Группа 10</t>
  </si>
  <si>
    <t>Игры в зачет серии</t>
  </si>
  <si>
    <t>Итоги финала</t>
  </si>
  <si>
    <t>Убийцы</t>
  </si>
  <si>
    <t>O2</t>
  </si>
  <si>
    <t>Спартанцы IT</t>
  </si>
  <si>
    <t>Эксперты IВUрrоg</t>
  </si>
  <si>
    <t>КЛ vprognozah.ru</t>
  </si>
  <si>
    <t>ФЕСТИВАЛЬ ФП - 2016/17</t>
  </si>
  <si>
    <t> 3. </t>
  </si>
  <si>
    <t> 4. </t>
  </si>
  <si>
    <t> 5. </t>
  </si>
  <si>
    <t> 6. </t>
  </si>
  <si>
    <t>MyFkip</t>
  </si>
  <si>
    <t>21-22</t>
  </si>
  <si>
    <t>24-18</t>
  </si>
  <si>
    <t> 251</t>
  </si>
  <si>
    <t> 258</t>
  </si>
  <si>
    <t> 257</t>
  </si>
  <si>
    <t> 235</t>
  </si>
  <si>
    <t> +11 </t>
  </si>
  <si>
    <t> +6 </t>
  </si>
  <si>
    <t> 219</t>
  </si>
  <si>
    <t> -5 </t>
  </si>
  <si>
    <t>Раз</t>
  </si>
  <si>
    <t>Профессионалы Прогноза</t>
  </si>
  <si>
    <t>21-15</t>
  </si>
  <si>
    <t>Liga1.ru</t>
  </si>
  <si>
    <t>14-15</t>
  </si>
  <si>
    <t>14-17</t>
  </si>
  <si>
    <t>16-13</t>
  </si>
  <si>
    <t>18-16</t>
  </si>
  <si>
    <t>15-14</t>
  </si>
  <si>
    <t>27-30</t>
  </si>
  <si>
    <t>31-34</t>
  </si>
  <si>
    <t>Бал</t>
  </si>
  <si>
    <t>ПК</t>
  </si>
  <si>
    <t>Оц.тр.</t>
  </si>
  <si>
    <t>Стиль 1</t>
  </si>
  <si>
    <t>Стиль 2</t>
  </si>
  <si>
    <t>сред(все)</t>
  </si>
  <si>
    <t>48-25-28</t>
  </si>
  <si>
    <t>43-26-32</t>
  </si>
  <si>
    <t>20-13</t>
  </si>
  <si>
    <t>48-24-28</t>
  </si>
  <si>
    <t>41-26-34</t>
  </si>
  <si>
    <t>56-19-25</t>
  </si>
  <si>
    <t>55-12-33</t>
  </si>
  <si>
    <t>47-25-28</t>
  </si>
  <si>
    <t>42-21-37</t>
  </si>
  <si>
    <t>52-28-21</t>
  </si>
  <si>
    <t>43-29-28</t>
  </si>
  <si>
    <t>40-27-33</t>
  </si>
  <si>
    <t>39-27-34</t>
  </si>
  <si>
    <t>22-16</t>
  </si>
  <si>
    <t>50-24-26</t>
  </si>
  <si>
    <t>48-22-29</t>
  </si>
  <si>
    <t>КФП Арсенал</t>
  </si>
  <si>
    <t>19-18</t>
  </si>
  <si>
    <t>46-28-26</t>
  </si>
  <si>
    <t>47-21-32</t>
  </si>
  <si>
    <t>43-38-20</t>
  </si>
  <si>
    <t>40-32-28</t>
  </si>
  <si>
    <t>45-28-28</t>
  </si>
  <si>
    <t>38-27-36</t>
  </si>
  <si>
    <t>0.98</t>
  </si>
  <si>
    <t>38-30-33</t>
  </si>
  <si>
    <t>35-25-40</t>
  </si>
  <si>
    <t>0.97</t>
  </si>
  <si>
    <t>38-34-28</t>
  </si>
  <si>
    <t>35-31-34</t>
  </si>
  <si>
    <t>38-43-19</t>
  </si>
  <si>
    <t>35-36-29</t>
  </si>
  <si>
    <t>КСП Торпедо им.Эдуарда Стрельцова</t>
  </si>
  <si>
    <t>49-27-24</t>
  </si>
  <si>
    <t>44-27-29</t>
  </si>
  <si>
    <t>42-25-33</t>
  </si>
  <si>
    <t>КЛФП Харьков</t>
  </si>
  <si>
    <t>46-36-18</t>
  </si>
  <si>
    <t>41-31-28</t>
  </si>
  <si>
    <t>57-23-20</t>
  </si>
  <si>
    <t>51-14-36</t>
  </si>
  <si>
    <t>36-36-28</t>
  </si>
  <si>
    <t>40-30-30</t>
  </si>
  <si>
    <t>48-20-33</t>
  </si>
  <si>
    <t>41-17-41</t>
  </si>
  <si>
    <t>0.92</t>
  </si>
  <si>
    <t>41-26-33</t>
  </si>
  <si>
    <t>40-23-37</t>
  </si>
  <si>
    <t>0.99</t>
  </si>
  <si>
    <t>47-40-13</t>
  </si>
  <si>
    <t>42-35-23</t>
  </si>
  <si>
    <t>33-25-42</t>
  </si>
  <si>
    <t>28-28-45</t>
  </si>
  <si>
    <t>51-33-17</t>
  </si>
  <si>
    <t>38-32-30</t>
  </si>
  <si>
    <t>39-29-33</t>
  </si>
  <si>
    <t>0.93</t>
  </si>
  <si>
    <t>26-55-19</t>
  </si>
  <si>
    <t>29-43-28</t>
  </si>
  <si>
    <t>38-38-24</t>
  </si>
  <si>
    <t>39-31-29</t>
  </si>
  <si>
    <t>35-17-48</t>
  </si>
  <si>
    <t>29-18-52</t>
  </si>
  <si>
    <t>33-32-35</t>
  </si>
  <si>
    <t>28-33-39</t>
  </si>
  <si>
    <t>61-14-25</t>
  </si>
  <si>
    <t>49-16-35</t>
  </si>
  <si>
    <t>44-29-27</t>
  </si>
  <si>
    <t>42-26-33</t>
  </si>
  <si>
    <t>47-28-25</t>
  </si>
  <si>
    <t>41-25-34</t>
  </si>
  <si>
    <t>ОЛФП</t>
  </si>
  <si>
    <t>43-24-33</t>
  </si>
  <si>
    <t> 7. </t>
  </si>
  <si>
    <t> 8. </t>
  </si>
  <si>
    <t> 9. </t>
  </si>
  <si>
    <t> 10. </t>
  </si>
  <si>
    <t> 11. </t>
  </si>
  <si>
    <t> 12. </t>
  </si>
  <si>
    <t>22-21</t>
  </si>
  <si>
    <t>Эксперт Лига №3</t>
  </si>
  <si>
    <t>24-26</t>
  </si>
  <si>
    <t>26-27</t>
  </si>
  <si>
    <t>7</t>
  </si>
  <si>
    <t>27-29</t>
  </si>
  <si>
    <t>26-29</t>
  </si>
  <si>
    <t>26-25</t>
  </si>
  <si>
    <t>25-26</t>
  </si>
  <si>
    <t>10</t>
  </si>
  <si>
    <t>27-21</t>
  </si>
  <si>
    <t>25-27</t>
  </si>
  <si>
    <t>22-25</t>
  </si>
  <si>
    <t>21-31</t>
  </si>
  <si>
    <t>30-32</t>
  </si>
  <si>
    <t>21-33</t>
  </si>
  <si>
    <t xml:space="preserve"> Межсайтовый турнир PROFI OPEN 2017</t>
  </si>
  <si>
    <t>35-16</t>
  </si>
  <si>
    <t>28-24</t>
  </si>
  <si>
    <t>28-26</t>
  </si>
  <si>
    <t>35-30</t>
  </si>
  <si>
    <t>19-32</t>
  </si>
  <si>
    <t>17-35</t>
  </si>
  <si>
    <t>26-14</t>
  </si>
  <si>
    <t>34-19</t>
  </si>
  <si>
    <t>26-22</t>
  </si>
  <si>
    <t>35-20</t>
  </si>
  <si>
    <t>14-26</t>
  </si>
  <si>
    <t>28-23</t>
  </si>
  <si>
    <t>26-28</t>
  </si>
  <si>
    <t>25-31</t>
  </si>
  <si>
    <t>27-23</t>
  </si>
  <si>
    <t>Финальный турнир</t>
  </si>
  <si>
    <t>Odessa United</t>
  </si>
  <si>
    <t>Команда (номер в базе, титулы на ФФП)</t>
  </si>
  <si>
    <t> 36 - 22 </t>
  </si>
  <si>
    <t> +14 </t>
  </si>
  <si>
    <t> 275</t>
  </si>
  <si>
    <t> 34 - 25 </t>
  </si>
  <si>
    <t> 266</t>
  </si>
  <si>
    <t> 31 - 27 </t>
  </si>
  <si>
    <t> 264</t>
  </si>
  <si>
    <t> 259</t>
  </si>
  <si>
    <t> 276</t>
  </si>
  <si>
    <t> 27 - 23 </t>
  </si>
  <si>
    <t> 32 - 29 </t>
  </si>
  <si>
    <t> 268</t>
  </si>
  <si>
    <t> 27 - 32 </t>
  </si>
  <si>
    <t> 261</t>
  </si>
  <si>
    <t> 22 - 28 </t>
  </si>
  <si>
    <t> 248</t>
  </si>
  <si>
    <t> 24 - 28 </t>
  </si>
  <si>
    <t> 19 - 29 </t>
  </si>
  <si>
    <t> 21 - 35 </t>
  </si>
  <si>
    <t> -14 </t>
  </si>
  <si>
    <t> 30 - 24 </t>
  </si>
  <si>
    <t> 262</t>
  </si>
  <si>
    <t> 29 - 22 </t>
  </si>
  <si>
    <t> 30 - 23 </t>
  </si>
  <si>
    <t> 25 - 23 </t>
  </si>
  <si>
    <t> 28 - 21 </t>
  </si>
  <si>
    <t> 24 - 20 </t>
  </si>
  <si>
    <t> 256</t>
  </si>
  <si>
    <t> 22 - 25 </t>
  </si>
  <si>
    <t> 21 - 26 </t>
  </si>
  <si>
    <t> 18 - 35 </t>
  </si>
  <si>
    <t> -17 </t>
  </si>
  <si>
    <t> 228</t>
  </si>
  <si>
    <t> 14 - 36 </t>
  </si>
  <si>
    <t> -22 </t>
  </si>
  <si>
    <t> 231</t>
  </si>
  <si>
    <t> 34 - 16 </t>
  </si>
  <si>
    <t> +18 </t>
  </si>
  <si>
    <t> 280</t>
  </si>
  <si>
    <t> 26 - 25 </t>
  </si>
  <si>
    <t> 32 - 21 </t>
  </si>
  <si>
    <t> 267</t>
  </si>
  <si>
    <t> 27 - 27 </t>
  </si>
  <si>
    <t> 260</t>
  </si>
  <si>
    <t> 30 - 21 </t>
  </si>
  <si>
    <t> 263</t>
  </si>
  <si>
    <t> 24 - 27 </t>
  </si>
  <si>
    <t> 270</t>
  </si>
  <si>
    <t> 27 - 30 </t>
  </si>
  <si>
    <t> 22 - 29 </t>
  </si>
  <si>
    <t> 23 - 28 </t>
  </si>
  <si>
    <t> 252</t>
  </si>
  <si>
    <t> 15 - 40 </t>
  </si>
  <si>
    <t> -25 </t>
  </si>
  <si>
    <t> 218</t>
  </si>
  <si>
    <r>
      <rPr>
        <b/>
        <sz val="10"/>
        <color indexed="63"/>
        <rFont val="Verdana"/>
        <family val="2"/>
      </rPr>
      <t>КФП "Арсенал"</t>
    </r>
  </si>
  <si>
    <t>КЛФП "Харьков" - ВФЛ КБК - 1:2 (34-36). </t>
  </si>
  <si>
    <t>Мегаспорт - Эксперты_IВUрrоg - 2:3 (32-32). </t>
  </si>
  <si>
    <r>
      <t>Профессионалы прогноза - КСП "Торпедо" им. Эдуарда Стрельцова - 2:3 (27-28).</t>
    </r>
    <r>
      <rPr>
        <sz val="10"/>
        <color indexed="63"/>
        <rFont val="Verdana"/>
        <family val="2"/>
      </rPr>
      <t> </t>
    </r>
  </si>
  <si>
    <t>19-21</t>
  </si>
  <si>
    <t>28-30</t>
  </si>
  <si>
    <t>31-33</t>
  </si>
  <si>
    <t>34-36</t>
  </si>
  <si>
    <t> 29 - 28 </t>
  </si>
  <si>
    <t> 32 - 28 </t>
  </si>
  <si>
    <t> 33 - 27 </t>
  </si>
  <si>
    <t> +6</t>
  </si>
  <si>
    <t> 32 - 24 </t>
  </si>
  <si>
    <t> 29 - 26 </t>
  </si>
  <si>
    <t> +3</t>
  </si>
  <si>
    <t> 30 - 29 </t>
  </si>
  <si>
    <t>89-41</t>
  </si>
  <si>
    <t>99-51</t>
  </si>
  <si>
    <t>98-60</t>
  </si>
  <si>
    <t>81-66</t>
  </si>
  <si>
    <t>68-72</t>
  </si>
  <si>
    <t>71-82</t>
  </si>
  <si>
    <t>75-67</t>
  </si>
  <si>
    <t>64-98</t>
  </si>
  <si>
    <t>73-66</t>
  </si>
  <si>
    <t>73-86</t>
  </si>
  <si>
    <t>62-86</t>
  </si>
  <si>
    <t>71-60</t>
  </si>
  <si>
    <t>65-83</t>
  </si>
  <si>
    <t>63-72</t>
  </si>
  <si>
    <t>68-94</t>
  </si>
  <si>
    <t>63-99</t>
  </si>
  <si>
    <t xml:space="preserve"> 1. </t>
  </si>
  <si>
    <t xml:space="preserve"> 32 - 25 </t>
  </si>
  <si>
    <t xml:space="preserve"> 2. </t>
  </si>
  <si>
    <t xml:space="preserve"> 32 - 26 </t>
  </si>
  <si>
    <t xml:space="preserve"> 3. </t>
  </si>
  <si>
    <t xml:space="preserve"> 30 - 29 </t>
  </si>
  <si>
    <t xml:space="preserve"> 4. </t>
  </si>
  <si>
    <t xml:space="preserve"> 30 - 23 </t>
  </si>
  <si>
    <t xml:space="preserve"> 5. </t>
  </si>
  <si>
    <t xml:space="preserve"> 29 - 25 </t>
  </si>
  <si>
    <t xml:space="preserve"> 6. </t>
  </si>
  <si>
    <t xml:space="preserve"> 32 - 19 </t>
  </si>
  <si>
    <t xml:space="preserve"> 7. </t>
  </si>
  <si>
    <t xml:space="preserve"> 28 - 29 </t>
  </si>
  <si>
    <t xml:space="preserve"> 8. </t>
  </si>
  <si>
    <t xml:space="preserve"> 32 - 28 </t>
  </si>
  <si>
    <t xml:space="preserve"> 9. </t>
  </si>
  <si>
    <t xml:space="preserve"> 20 - 30 </t>
  </si>
  <si>
    <t xml:space="preserve"> 10. </t>
  </si>
  <si>
    <t xml:space="preserve"> 21 - 28 </t>
  </si>
  <si>
    <t xml:space="preserve"> 11. </t>
  </si>
  <si>
    <t xml:space="preserve"> 24 - 32 </t>
  </si>
  <si>
    <t xml:space="preserve"> 12. </t>
  </si>
  <si>
    <t xml:space="preserve"> 22 - 38 </t>
  </si>
  <si>
    <t>И серия</t>
  </si>
  <si>
    <t>О серия</t>
  </si>
  <si>
    <t>М серия</t>
  </si>
  <si>
    <t>ФЕСТИВАЛЬ ФП - 2017/18</t>
  </si>
  <si>
    <t>«Мастер-Cерия 2017/2018»</t>
  </si>
  <si>
    <t>PROFI OPEN 2017</t>
  </si>
  <si>
    <t>З-П</t>
  </si>
  <si>
    <t>НАМ(О-Д)</t>
  </si>
  <si>
    <t>Профессиональный прогноз</t>
  </si>
  <si>
    <t>39-17</t>
  </si>
  <si>
    <t>286(210-76)</t>
  </si>
  <si>
    <t>    </t>
  </si>
  <si>
    <r>
      <t>2</t>
    </r>
    <r>
      <rPr>
        <b/>
        <sz val="8"/>
        <color indexed="10"/>
        <rFont val="Tahoma"/>
        <family val="2"/>
      </rPr>
      <t>Т</t>
    </r>
  </si>
  <si>
    <t>29-20</t>
  </si>
  <si>
    <t>256(171-85)</t>
  </si>
  <si>
    <r>
      <t>3</t>
    </r>
    <r>
      <rPr>
        <b/>
        <sz val="8"/>
        <color indexed="10"/>
        <rFont val="Tahoma"/>
        <family val="2"/>
      </rPr>
      <t>Т</t>
    </r>
  </si>
  <si>
    <t>Русская Рулетка</t>
  </si>
  <si>
    <t>236(164-72)</t>
  </si>
  <si>
    <t>24-30</t>
  </si>
  <si>
    <t>267(189-78)</t>
  </si>
  <si>
    <r>
      <t>5</t>
    </r>
    <r>
      <rPr>
        <b/>
        <sz val="8"/>
        <color indexed="10"/>
        <rFont val="Tahoma"/>
        <family val="2"/>
      </rPr>
      <t>Т</t>
    </r>
  </si>
  <si>
    <t>254(176-78)</t>
  </si>
  <si>
    <r>
      <t>6</t>
    </r>
    <r>
      <rPr>
        <b/>
        <sz val="8"/>
        <color indexed="10"/>
        <rFont val="Tahoma"/>
        <family val="2"/>
      </rPr>
      <t>Т</t>
    </r>
  </si>
  <si>
    <t>246(167-79)</t>
  </si>
  <si>
    <t>RED-ARMY.RU</t>
  </si>
  <si>
    <t>247(178-69)</t>
  </si>
  <si>
    <t>18-29</t>
  </si>
  <si>
    <t>254(181-73)</t>
  </si>
  <si>
    <t>Лга КСП "Торпедо" - 2018</t>
  </si>
  <si>
    <t>Группа Виктора Шустикова</t>
  </si>
  <si>
    <t>19 - 7</t>
  </si>
  <si>
    <t>19 - 16</t>
  </si>
  <si>
    <t>14 - 15</t>
  </si>
  <si>
    <t>19 - 15</t>
  </si>
  <si>
    <t>12 - 18</t>
  </si>
  <si>
    <t>13 - 17</t>
  </si>
  <si>
    <t>11 - 19</t>
  </si>
  <si>
    <t>152</t>
  </si>
  <si>
    <t>Группа Михаила Гершковича</t>
  </si>
  <si>
    <t>22 - 13</t>
  </si>
  <si>
    <t>22 - 14</t>
  </si>
  <si>
    <t>18 - 19</t>
  </si>
  <si>
    <t>16 - 18</t>
  </si>
  <si>
    <t>14 - 19</t>
  </si>
  <si>
    <t>Группа Юрия Савичева</t>
  </si>
  <si>
    <t>не учитывается как худший результат из 5 турниров</t>
  </si>
  <si>
    <t>Кубанская Лига Прогнозов</t>
  </si>
  <si>
    <t>23 - 12</t>
  </si>
  <si>
    <t>21 - 24</t>
  </si>
  <si>
    <t>15 - 18</t>
  </si>
  <si>
    <t>23 - 19</t>
  </si>
  <si>
    <t>19 - 19</t>
  </si>
  <si>
    <t>16 - 23</t>
  </si>
  <si>
    <t>160</t>
  </si>
  <si>
    <t>33-35</t>
  </si>
  <si>
    <t>36-37</t>
  </si>
  <si>
    <t>Группа Валерия Семенова</t>
  </si>
  <si>
    <t>Группа Владимира Кана</t>
  </si>
  <si>
    <t>33-37</t>
  </si>
  <si>
    <t>39 - 17</t>
  </si>
  <si>
    <t>29 - 20</t>
  </si>
  <si>
    <t>25 - 28</t>
  </si>
  <si>
    <t>24 - 30</t>
  </si>
  <si>
    <t>26 - 25</t>
  </si>
  <si>
    <t>22 - 25</t>
  </si>
  <si>
    <t>21 - 30</t>
  </si>
  <si>
    <t>18 - 29</t>
  </si>
  <si>
    <t>21-25</t>
  </si>
  <si>
    <t>31-35</t>
  </si>
  <si>
    <t>36-40</t>
  </si>
  <si>
    <t>Красно-Белый Ромб</t>
  </si>
  <si>
    <t>33 - 16</t>
  </si>
  <si>
    <t>29 - 21</t>
  </si>
  <si>
    <t>28 - 18</t>
  </si>
  <si>
    <t>27 - 22</t>
  </si>
  <si>
    <t>28 - 22</t>
  </si>
  <si>
    <t>18 - 33</t>
  </si>
  <si>
    <t>28 - 30</t>
  </si>
  <si>
    <t>19 - 44</t>
  </si>
  <si>
    <r>
      <t xml:space="preserve">Группа </t>
    </r>
    <r>
      <rPr>
        <b/>
        <sz val="11"/>
        <color indexed="30"/>
        <rFont val="Verdana"/>
        <family val="2"/>
      </rPr>
      <t>B</t>
    </r>
  </si>
  <si>
    <t>Prognoz.org.ua</t>
  </si>
  <si>
    <t>Эксперт Лига №4</t>
  </si>
  <si>
    <t>26-30</t>
  </si>
  <si>
    <t>9</t>
  </si>
  <si>
    <t>8</t>
  </si>
  <si>
    <t>6</t>
  </si>
  <si>
    <t>37-17</t>
  </si>
  <si>
    <t>33-20</t>
  </si>
  <si>
    <t>37-16</t>
  </si>
  <si>
    <t>32-27</t>
  </si>
  <si>
    <t>27-26</t>
  </si>
  <si>
    <t>29-29</t>
  </si>
  <si>
    <t>21-29</t>
  </si>
  <si>
    <t>27-35</t>
  </si>
  <si>
    <t>22-37</t>
  </si>
  <si>
    <t>38-22</t>
  </si>
  <si>
    <t>34-23</t>
  </si>
  <si>
    <t>31-26</t>
  </si>
  <si>
    <t>31-28</t>
  </si>
  <si>
    <t>28-29</t>
  </si>
  <si>
    <t>26-39</t>
  </si>
  <si>
    <t>32-30</t>
  </si>
  <si>
    <t>25-29</t>
  </si>
  <si>
    <t>26-35</t>
  </si>
  <si>
    <t>20-11</t>
  </si>
  <si>
    <t>18-14</t>
  </si>
  <si>
    <t>18-17</t>
  </si>
  <si>
    <t>15-15</t>
  </si>
  <si>
    <t>19-22</t>
  </si>
  <si>
    <t>15-18</t>
  </si>
  <si>
    <t>12-17</t>
  </si>
  <si>
    <t>106</t>
  </si>
  <si>
    <t>115</t>
  </si>
  <si>
    <t>108</t>
  </si>
  <si>
    <t>112</t>
  </si>
  <si>
    <t>96</t>
  </si>
  <si>
    <t>103</t>
  </si>
  <si>
    <t>101</t>
  </si>
  <si>
    <t>114</t>
  </si>
  <si>
    <t>27-12</t>
  </si>
  <si>
    <t>23-22</t>
  </si>
  <si>
    <t>18-34</t>
  </si>
  <si>
    <t>20-25</t>
  </si>
  <si>
    <t>29-15</t>
  </si>
  <si>
    <t>24-20</t>
  </si>
  <si>
    <t>18-22</t>
  </si>
  <si>
    <t>23-16</t>
  </si>
  <si>
    <t>18-30</t>
  </si>
  <si>
    <t>18-27</t>
  </si>
  <si>
    <t>30-16</t>
  </si>
  <si>
    <t>20-23</t>
  </si>
  <si>
    <t>29-22</t>
  </si>
  <si>
    <t>25-23</t>
  </si>
  <si>
    <t>20-30</t>
  </si>
  <si>
    <t>19-29</t>
  </si>
  <si>
    <t>25-19</t>
  </si>
  <si>
    <t>36-17</t>
  </si>
  <si>
    <t>19-30</t>
  </si>
  <si>
    <t>15-33</t>
  </si>
  <si>
    <t>40-21</t>
  </si>
  <si>
    <t>38-19</t>
  </si>
  <si>
    <t>36-25</t>
  </si>
  <si>
    <t>35-31</t>
  </si>
  <si>
    <t>29-31</t>
  </si>
  <si>
    <t>29-33</t>
  </si>
  <si>
    <t>25-38</t>
  </si>
  <si>
    <t>27-34</t>
  </si>
  <si>
    <t>16-40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</si>
</sst>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_ ;[Red]\-0\ "/>
    <numFmt numFmtId="165" formatCode="0.0"/>
    <numFmt numFmtId="166" formatCode="#,##0.0"/>
  </numFmts>
  <fonts count="12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9"/>
      <color indexed="55"/>
      <name val="Verdan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Calibri"/>
      <family val="2"/>
    </font>
    <font>
      <b/>
      <sz val="10"/>
      <name val="Arial Cyr"/>
      <family val="0"/>
    </font>
    <font>
      <b/>
      <sz val="10"/>
      <color indexed="63"/>
      <name val="Verdana"/>
      <family val="2"/>
    </font>
    <font>
      <b/>
      <sz val="10"/>
      <name val="Arial CYR"/>
      <family val="0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indexed="18"/>
      <name val="Calibri"/>
      <family val="2"/>
    </font>
    <font>
      <u val="single"/>
      <sz val="12"/>
      <color indexed="8"/>
      <name val="Verdana"/>
      <family val="2"/>
    </font>
    <font>
      <sz val="7"/>
      <color indexed="8"/>
      <name val="Times New Roman"/>
      <family val="1"/>
    </font>
    <font>
      <b/>
      <sz val="12"/>
      <color indexed="18"/>
      <name val="Calibri"/>
      <family val="2"/>
    </font>
    <font>
      <sz val="10"/>
      <color indexed="63"/>
      <name val="Verdana"/>
      <family val="2"/>
    </font>
    <font>
      <sz val="10"/>
      <color indexed="8"/>
      <name val="Verdana"/>
      <family val="2"/>
    </font>
    <font>
      <sz val="11"/>
      <color indexed="30"/>
      <name val="Verdana"/>
      <family val="2"/>
    </font>
    <font>
      <sz val="9"/>
      <color indexed="30"/>
      <name val="Verdana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6"/>
      <color indexed="30"/>
      <name val="Verdana"/>
      <family val="2"/>
    </font>
    <font>
      <b/>
      <sz val="10"/>
      <color indexed="8"/>
      <name val="Verdana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12"/>
      <name val="Calibri"/>
      <family val="2"/>
    </font>
    <font>
      <sz val="16"/>
      <color indexed="10"/>
      <name val="Arial Cyr"/>
      <family val="0"/>
    </font>
    <font>
      <sz val="10"/>
      <name val="Arial Cyr"/>
      <family val="0"/>
    </font>
    <font>
      <sz val="12"/>
      <color indexed="36"/>
      <name val="Arial CYR"/>
      <family val="0"/>
    </font>
    <font>
      <b/>
      <i/>
      <sz val="14"/>
      <color indexed="8"/>
      <name val="Calibri"/>
      <family val="2"/>
    </font>
    <font>
      <u val="single"/>
      <sz val="10"/>
      <color indexed="63"/>
      <name val="Verdana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21"/>
      <name val="Verdana"/>
      <family val="2"/>
    </font>
    <font>
      <sz val="11"/>
      <color indexed="10"/>
      <name val="Verdana"/>
      <family val="2"/>
    </font>
    <font>
      <sz val="11"/>
      <color indexed="12"/>
      <name val="Verdana"/>
      <family val="2"/>
    </font>
    <font>
      <b/>
      <sz val="10"/>
      <color indexed="8"/>
      <name val="Tahoma"/>
      <family val="2"/>
    </font>
    <font>
      <sz val="10"/>
      <color indexed="21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indexed="12"/>
      <name val="Tahoma"/>
      <family val="2"/>
    </font>
    <font>
      <sz val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8"/>
      <color indexed="10"/>
      <name val="Tahoma"/>
      <family val="2"/>
    </font>
    <font>
      <u val="single"/>
      <sz val="11"/>
      <color indexed="12"/>
      <name val="Calibri"/>
      <family val="2"/>
    </font>
    <font>
      <b/>
      <sz val="11"/>
      <color indexed="30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ahoma"/>
      <family val="2"/>
    </font>
    <font>
      <b/>
      <sz val="14"/>
      <color rgb="FF000000"/>
      <name val="Tahom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sz val="11"/>
      <color rgb="FF0070C0"/>
      <name val="Verdana"/>
      <family val="2"/>
    </font>
    <font>
      <sz val="9"/>
      <color rgb="FF0070C0"/>
      <name val="Verdana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6"/>
      <color rgb="FF0070C0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Calibri"/>
      <family val="2"/>
    </font>
    <font>
      <sz val="11"/>
      <color theme="1"/>
      <name val="Verdana"/>
      <family val="2"/>
    </font>
    <font>
      <b/>
      <sz val="16"/>
      <color theme="1"/>
      <name val="Calibri"/>
      <family val="2"/>
    </font>
    <font>
      <sz val="10"/>
      <color rgb="FF333333"/>
      <name val="Verdana"/>
      <family val="2"/>
    </font>
    <font>
      <b/>
      <sz val="10"/>
      <color rgb="FF333333"/>
      <name val="Verdana"/>
      <family val="2"/>
    </font>
    <font>
      <sz val="14"/>
      <color rgb="FF0000FF"/>
      <name val="Calibri"/>
      <family val="2"/>
    </font>
    <font>
      <sz val="12"/>
      <color rgb="FF7030A0"/>
      <name val="Arial CYR"/>
      <family val="0"/>
    </font>
    <font>
      <u val="single"/>
      <sz val="10"/>
      <color rgb="FF333333"/>
      <name val="Verdana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Verdana"/>
      <family val="2"/>
    </font>
    <font>
      <sz val="11"/>
      <color rgb="FF008080"/>
      <name val="Verdana"/>
      <family val="2"/>
    </font>
    <font>
      <sz val="11"/>
      <color rgb="FF000000"/>
      <name val="Verdana"/>
      <family val="2"/>
    </font>
    <font>
      <sz val="11"/>
      <color rgb="FFFF0000"/>
      <name val="Verdana"/>
      <family val="2"/>
    </font>
    <font>
      <sz val="11"/>
      <color rgb="FF0000FF"/>
      <name val="Verdana"/>
      <family val="2"/>
    </font>
    <font>
      <b/>
      <sz val="10"/>
      <color rgb="FF000000"/>
      <name val="Tahoma"/>
      <family val="2"/>
    </font>
    <font>
      <sz val="10"/>
      <color rgb="FF008080"/>
      <name val="Tahoma"/>
      <family val="2"/>
    </font>
    <font>
      <sz val="10"/>
      <color rgb="FF000000"/>
      <name val="Tahoma"/>
      <family val="2"/>
    </font>
    <font>
      <sz val="10"/>
      <color rgb="FFFF0000"/>
      <name val="Tahoma"/>
      <family val="2"/>
    </font>
    <font>
      <sz val="10"/>
      <color rgb="FF0000FF"/>
      <name val="Tahoma"/>
      <family val="2"/>
    </font>
    <font>
      <b/>
      <sz val="11"/>
      <color rgb="FF000000"/>
      <name val="Calibri"/>
      <family val="2"/>
    </font>
    <font>
      <sz val="9"/>
      <color rgb="FFFFFFFF"/>
      <name val="Tahoma"/>
      <family val="2"/>
    </font>
    <font>
      <sz val="9"/>
      <color rgb="FF000000"/>
      <name val="Tahoma"/>
      <family val="2"/>
    </font>
    <font>
      <b/>
      <i/>
      <sz val="14"/>
      <color theme="1"/>
      <name val="Calibri"/>
      <family val="2"/>
    </font>
    <font>
      <u val="single"/>
      <sz val="12"/>
      <color rgb="FF000000"/>
      <name val="Verdana"/>
      <family val="2"/>
    </font>
    <font>
      <sz val="9"/>
      <color rgb="FF000000"/>
      <name val="Calibri"/>
      <family val="2"/>
    </font>
    <font>
      <b/>
      <sz val="12"/>
      <color rgb="FF000080"/>
      <name val="Calibri"/>
      <family val="2"/>
    </font>
    <font>
      <b/>
      <sz val="9"/>
      <color rgb="FF000000"/>
      <name val="Calibri"/>
      <family val="2"/>
    </font>
    <font>
      <sz val="12"/>
      <color rgb="FF000080"/>
      <name val="Calibri"/>
      <family val="2"/>
    </font>
    <font>
      <b/>
      <sz val="18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E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E238"/>
        <bgColor indexed="64"/>
      </patternFill>
    </fill>
    <fill>
      <patternFill patternType="solid">
        <fgColor rgb="FFF7E76F"/>
        <bgColor indexed="64"/>
      </patternFill>
    </fill>
    <fill>
      <patternFill patternType="solid">
        <fgColor rgb="FFF8D8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F3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FC20"/>
        <bgColor indexed="64"/>
      </patternFill>
    </fill>
    <fill>
      <patternFill patternType="solid">
        <fgColor rgb="FFFFEB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C83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8A81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6B6B6B"/>
        <bgColor indexed="64"/>
      </patternFill>
    </fill>
    <fill>
      <patternFill patternType="solid">
        <fgColor rgb="FF7FD498"/>
        <bgColor indexed="64"/>
      </patternFill>
    </fill>
    <fill>
      <patternFill patternType="solid">
        <fgColor rgb="FFBBBBBB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ck"/>
      <bottom style="medium"/>
    </border>
    <border>
      <left/>
      <right style="thick"/>
      <top style="thick"/>
      <bottom style="medium"/>
    </border>
    <border>
      <left/>
      <right style="medium"/>
      <top style="thick"/>
      <bottom style="medium"/>
    </border>
    <border>
      <left style="thick"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medium"/>
    </border>
    <border>
      <left style="thick"/>
      <right style="medium"/>
      <top/>
      <bottom style="thick"/>
    </border>
    <border>
      <left/>
      <right style="thick"/>
      <top/>
      <bottom style="thick"/>
    </border>
    <border>
      <left/>
      <right style="medium"/>
      <top/>
      <bottom style="thick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ck"/>
      <right style="medium"/>
      <top style="medium"/>
      <bottom style="thin"/>
    </border>
    <border>
      <left/>
      <right style="thick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double">
        <color theme="7" tint="-0.24993999302387238"/>
      </left>
      <right style="medium"/>
      <top/>
      <bottom style="medium"/>
    </border>
    <border>
      <left/>
      <right style="double">
        <color theme="7" tint="-0.24993999302387238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double">
        <color theme="7" tint="-0.24993999302387238"/>
      </top>
      <bottom style="medium"/>
    </border>
    <border>
      <left/>
      <right style="double">
        <color theme="7" tint="-0.24993999302387238"/>
      </right>
      <top style="double">
        <color theme="7" tint="-0.24993999302387238"/>
      </top>
      <bottom style="medium"/>
    </border>
    <border>
      <left/>
      <right style="medium"/>
      <top/>
      <bottom style="thin"/>
    </border>
    <border>
      <left style="medium">
        <color rgb="FF888888"/>
      </left>
      <right/>
      <top style="medium">
        <color rgb="FF888888"/>
      </top>
      <bottom/>
    </border>
    <border>
      <left/>
      <right/>
      <top style="medium">
        <color rgb="FF888888"/>
      </top>
      <bottom/>
    </border>
    <border>
      <left/>
      <right style="medium">
        <color rgb="FF888888"/>
      </right>
      <top style="medium">
        <color rgb="FF888888"/>
      </top>
      <bottom/>
    </border>
    <border>
      <left style="medium">
        <color rgb="FF888888"/>
      </left>
      <right/>
      <top/>
      <bottom/>
    </border>
    <border>
      <left/>
      <right style="medium">
        <color rgb="FF888888"/>
      </right>
      <top/>
      <bottom/>
    </border>
    <border>
      <left style="medium">
        <color rgb="FF888888"/>
      </left>
      <right/>
      <top/>
      <bottom style="medium">
        <color rgb="FF888888"/>
      </bottom>
    </border>
    <border>
      <left/>
      <right/>
      <top/>
      <bottom style="medium">
        <color rgb="FF888888"/>
      </bottom>
    </border>
    <border>
      <left/>
      <right style="medium">
        <color rgb="FF888888"/>
      </right>
      <top/>
      <bottom style="medium">
        <color rgb="FF888888"/>
      </bottom>
    </border>
    <border>
      <left style="thin"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double"/>
      <right style="double"/>
      <top/>
      <bottom style="medium"/>
    </border>
    <border>
      <left/>
      <right/>
      <top/>
      <bottom style="thick">
        <color rgb="FF999999"/>
      </bottom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double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double"/>
      <right style="double"/>
      <top style="double"/>
      <bottom/>
    </border>
    <border>
      <left style="double">
        <color theme="7" tint="-0.24993999302387238"/>
      </left>
      <right/>
      <top style="double">
        <color theme="7" tint="-0.24993999302387238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ck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48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10" fillId="0" borderId="0" xfId="0" applyFont="1" applyAlignment="1">
      <alignment/>
    </xf>
    <xf numFmtId="165" fontId="10" fillId="0" borderId="0" xfId="0" applyNumberFormat="1" applyFont="1" applyAlignment="1">
      <alignment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89" fillId="0" borderId="12" xfId="0" applyFont="1" applyBorder="1" applyAlignment="1">
      <alignment horizontal="center" vertical="top" wrapText="1"/>
    </xf>
    <xf numFmtId="0" fontId="89" fillId="0" borderId="13" xfId="0" applyFont="1" applyBorder="1" applyAlignment="1">
      <alignment horizontal="center" vertical="top" wrapText="1"/>
    </xf>
    <xf numFmtId="0" fontId="90" fillId="0" borderId="14" xfId="0" applyFont="1" applyBorder="1" applyAlignment="1">
      <alignment horizontal="center" vertical="top" wrapText="1"/>
    </xf>
    <xf numFmtId="0" fontId="90" fillId="0" borderId="15" xfId="0" applyFont="1" applyBorder="1" applyAlignment="1">
      <alignment horizontal="center" vertical="top" wrapText="1"/>
    </xf>
    <xf numFmtId="0" fontId="90" fillId="0" borderId="16" xfId="0" applyFont="1" applyBorder="1" applyAlignment="1">
      <alignment horizontal="center" vertical="top" wrapText="1"/>
    </xf>
    <xf numFmtId="0" fontId="90" fillId="0" borderId="17" xfId="0" applyFont="1" applyBorder="1" applyAlignment="1">
      <alignment horizontal="center" vertical="top" wrapText="1"/>
    </xf>
    <xf numFmtId="0" fontId="90" fillId="0" borderId="18" xfId="0" applyFont="1" applyBorder="1" applyAlignment="1">
      <alignment horizontal="center" vertical="top" wrapText="1"/>
    </xf>
    <xf numFmtId="0" fontId="90" fillId="0" borderId="19" xfId="0" applyFont="1" applyBorder="1" applyAlignment="1">
      <alignment horizontal="center" vertical="top" wrapText="1"/>
    </xf>
    <xf numFmtId="0" fontId="0" fillId="33" borderId="0" xfId="0" applyFill="1" applyAlignment="1">
      <alignment vertical="top" wrapText="1"/>
    </xf>
    <xf numFmtId="0" fontId="0" fillId="0" borderId="0" xfId="0" applyAlignment="1">
      <alignment wrapText="1"/>
    </xf>
    <xf numFmtId="0" fontId="89" fillId="0" borderId="20" xfId="0" applyFont="1" applyBorder="1" applyAlignment="1">
      <alignment horizontal="center" vertical="top" wrapText="1"/>
    </xf>
    <xf numFmtId="0" fontId="89" fillId="0" borderId="21" xfId="0" applyFont="1" applyBorder="1" applyAlignment="1">
      <alignment horizontal="center" vertical="top" wrapText="1"/>
    </xf>
    <xf numFmtId="0" fontId="89" fillId="0" borderId="22" xfId="0" applyFont="1" applyBorder="1" applyAlignment="1">
      <alignment horizontal="center" vertical="top" wrapText="1"/>
    </xf>
    <xf numFmtId="0" fontId="90" fillId="0" borderId="23" xfId="0" applyFont="1" applyBorder="1" applyAlignment="1">
      <alignment horizontal="center" vertical="top" wrapText="1"/>
    </xf>
    <xf numFmtId="0" fontId="90" fillId="0" borderId="24" xfId="0" applyFont="1" applyBorder="1" applyAlignment="1">
      <alignment horizontal="center" vertical="top" wrapText="1"/>
    </xf>
    <xf numFmtId="0" fontId="90" fillId="0" borderId="25" xfId="0" applyFont="1" applyBorder="1" applyAlignment="1">
      <alignment horizontal="center" vertical="top" wrapText="1"/>
    </xf>
    <xf numFmtId="0" fontId="90" fillId="0" borderId="26" xfId="0" applyFont="1" applyBorder="1" applyAlignment="1">
      <alignment horizontal="center" vertical="top" wrapText="1"/>
    </xf>
    <xf numFmtId="0" fontId="90" fillId="0" borderId="27" xfId="0" applyFont="1" applyBorder="1" applyAlignment="1">
      <alignment horizontal="center" vertical="top" wrapText="1"/>
    </xf>
    <xf numFmtId="0" fontId="90" fillId="0" borderId="28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78" fillId="0" borderId="0" xfId="0" applyFont="1" applyAlignment="1">
      <alignment/>
    </xf>
    <xf numFmtId="0" fontId="90" fillId="0" borderId="29" xfId="0" applyFont="1" applyBorder="1" applyAlignment="1">
      <alignment horizontal="center" vertical="top" wrapText="1"/>
    </xf>
    <xf numFmtId="0" fontId="90" fillId="0" borderId="3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49" fontId="90" fillId="0" borderId="29" xfId="0" applyNumberFormat="1" applyFont="1" applyBorder="1" applyAlignment="1">
      <alignment horizontal="center" vertical="top" wrapText="1"/>
    </xf>
    <xf numFmtId="166" fontId="1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10" fillId="34" borderId="0" xfId="0" applyFont="1" applyFill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8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34" xfId="0" applyFont="1" applyFill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91" fillId="0" borderId="39" xfId="0" applyFont="1" applyBorder="1" applyAlignment="1">
      <alignment horizontal="center" vertical="center"/>
    </xf>
    <xf numFmtId="0" fontId="91" fillId="0" borderId="39" xfId="0" applyFont="1" applyFill="1" applyBorder="1" applyAlignment="1">
      <alignment horizontal="center" vertical="center"/>
    </xf>
    <xf numFmtId="49" fontId="91" fillId="0" borderId="39" xfId="0" applyNumberFormat="1" applyFont="1" applyBorder="1" applyAlignment="1">
      <alignment horizontal="center" vertical="center"/>
    </xf>
    <xf numFmtId="0" fontId="91" fillId="0" borderId="40" xfId="0" applyFont="1" applyBorder="1" applyAlignment="1">
      <alignment horizontal="center" vertical="center"/>
    </xf>
    <xf numFmtId="49" fontId="91" fillId="0" borderId="10" xfId="0" applyNumberFormat="1" applyFont="1" applyFill="1" applyBorder="1" applyAlignment="1">
      <alignment horizontal="center" vertical="center"/>
    </xf>
    <xf numFmtId="1" fontId="92" fillId="35" borderId="35" xfId="0" applyNumberFormat="1" applyFont="1" applyFill="1" applyBorder="1" applyAlignment="1">
      <alignment horizontal="center" vertical="center"/>
    </xf>
    <xf numFmtId="0" fontId="91" fillId="0" borderId="16" xfId="0" applyFont="1" applyBorder="1" applyAlignment="1">
      <alignment vertical="center"/>
    </xf>
    <xf numFmtId="0" fontId="91" fillId="0" borderId="35" xfId="0" applyFont="1" applyBorder="1" applyAlignment="1">
      <alignment vertical="center"/>
    </xf>
    <xf numFmtId="49" fontId="91" fillId="0" borderId="35" xfId="0" applyNumberFormat="1" applyFont="1" applyFill="1" applyBorder="1" applyAlignment="1">
      <alignment horizontal="center" vertical="center"/>
    </xf>
    <xf numFmtId="1" fontId="91" fillId="0" borderId="35" xfId="0" applyNumberFormat="1" applyFont="1" applyFill="1" applyBorder="1" applyAlignment="1">
      <alignment horizontal="center" vertical="center"/>
    </xf>
    <xf numFmtId="0" fontId="91" fillId="0" borderId="35" xfId="0" applyFont="1" applyBorder="1" applyAlignment="1">
      <alignment horizontal="center" vertical="center"/>
    </xf>
    <xf numFmtId="49" fontId="91" fillId="0" borderId="35" xfId="0" applyNumberFormat="1" applyFont="1" applyBorder="1" applyAlignment="1">
      <alignment horizontal="center" vertical="center"/>
    </xf>
    <xf numFmtId="164" fontId="91" fillId="0" borderId="35" xfId="0" applyNumberFormat="1" applyFont="1" applyBorder="1" applyAlignment="1">
      <alignment horizontal="center" vertical="center"/>
    </xf>
    <xf numFmtId="164" fontId="91" fillId="0" borderId="15" xfId="0" applyNumberFormat="1" applyFont="1" applyFill="1" applyBorder="1" applyAlignment="1">
      <alignment horizontal="center" vertical="center"/>
    </xf>
    <xf numFmtId="0" fontId="91" fillId="0" borderId="18" xfId="0" applyFont="1" applyBorder="1" applyAlignment="1">
      <alignment vertical="center"/>
    </xf>
    <xf numFmtId="0" fontId="91" fillId="0" borderId="36" xfId="0" applyFont="1" applyBorder="1" applyAlignment="1">
      <alignment vertical="center"/>
    </xf>
    <xf numFmtId="49" fontId="91" fillId="0" borderId="36" xfId="0" applyNumberFormat="1" applyFont="1" applyFill="1" applyBorder="1" applyAlignment="1">
      <alignment horizontal="center" vertical="center"/>
    </xf>
    <xf numFmtId="1" fontId="92" fillId="35" borderId="36" xfId="0" applyNumberFormat="1" applyFont="1" applyFill="1" applyBorder="1" applyAlignment="1">
      <alignment horizontal="center" vertical="center"/>
    </xf>
    <xf numFmtId="1" fontId="91" fillId="0" borderId="36" xfId="0" applyNumberFormat="1" applyFont="1" applyFill="1" applyBorder="1" applyAlignment="1">
      <alignment horizontal="center" vertical="center"/>
    </xf>
    <xf numFmtId="0" fontId="91" fillId="0" borderId="36" xfId="0" applyFont="1" applyBorder="1" applyAlignment="1">
      <alignment horizontal="center" vertical="center"/>
    </xf>
    <xf numFmtId="49" fontId="91" fillId="0" borderId="36" xfId="0" applyNumberFormat="1" applyFont="1" applyBorder="1" applyAlignment="1">
      <alignment horizontal="center" vertical="center"/>
    </xf>
    <xf numFmtId="164" fontId="91" fillId="0" borderId="36" xfId="0" applyNumberFormat="1" applyFont="1" applyBorder="1" applyAlignment="1">
      <alignment horizontal="center" vertical="center"/>
    </xf>
    <xf numFmtId="164" fontId="91" fillId="0" borderId="41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3" fillId="0" borderId="0" xfId="0" applyFont="1" applyAlignment="1">
      <alignment horizontal="center"/>
    </xf>
    <xf numFmtId="49" fontId="93" fillId="0" borderId="0" xfId="0" applyNumberFormat="1" applyFont="1" applyAlignment="1">
      <alignment horizontal="center"/>
    </xf>
    <xf numFmtId="0" fontId="91" fillId="36" borderId="33" xfId="0" applyFont="1" applyFill="1" applyBorder="1" applyAlignment="1">
      <alignment vertical="center"/>
    </xf>
    <xf numFmtId="0" fontId="91" fillId="36" borderId="34" xfId="0" applyFont="1" applyFill="1" applyBorder="1" applyAlignment="1">
      <alignment vertical="center"/>
    </xf>
    <xf numFmtId="49" fontId="91" fillId="36" borderId="34" xfId="0" applyNumberFormat="1" applyFont="1" applyFill="1" applyBorder="1" applyAlignment="1">
      <alignment horizontal="center" vertical="center"/>
    </xf>
    <xf numFmtId="1" fontId="91" fillId="36" borderId="34" xfId="0" applyNumberFormat="1" applyFont="1" applyFill="1" applyBorder="1" applyAlignment="1">
      <alignment horizontal="center" vertical="center"/>
    </xf>
    <xf numFmtId="0" fontId="91" fillId="36" borderId="34" xfId="0" applyFont="1" applyFill="1" applyBorder="1" applyAlignment="1">
      <alignment horizontal="center" vertical="center"/>
    </xf>
    <xf numFmtId="164" fontId="91" fillId="36" borderId="34" xfId="0" applyNumberFormat="1" applyFont="1" applyFill="1" applyBorder="1" applyAlignment="1">
      <alignment horizontal="center" vertical="center"/>
    </xf>
    <xf numFmtId="164" fontId="91" fillId="36" borderId="42" xfId="0" applyNumberFormat="1" applyFont="1" applyFill="1" applyBorder="1" applyAlignment="1">
      <alignment horizontal="center" vertical="center"/>
    </xf>
    <xf numFmtId="0" fontId="93" fillId="36" borderId="43" xfId="0" applyNumberFormat="1" applyFont="1" applyFill="1" applyBorder="1" applyAlignment="1">
      <alignment horizontal="center"/>
    </xf>
    <xf numFmtId="0" fontId="91" fillId="36" borderId="16" xfId="0" applyFont="1" applyFill="1" applyBorder="1" applyAlignment="1">
      <alignment vertical="center"/>
    </xf>
    <xf numFmtId="0" fontId="91" fillId="36" borderId="35" xfId="0" applyFont="1" applyFill="1" applyBorder="1" applyAlignment="1">
      <alignment vertical="center"/>
    </xf>
    <xf numFmtId="49" fontId="91" fillId="36" borderId="35" xfId="0" applyNumberFormat="1" applyFont="1" applyFill="1" applyBorder="1" applyAlignment="1">
      <alignment horizontal="center" vertical="center"/>
    </xf>
    <xf numFmtId="1" fontId="91" fillId="36" borderId="35" xfId="0" applyNumberFormat="1" applyFont="1" applyFill="1" applyBorder="1" applyAlignment="1">
      <alignment horizontal="center" vertical="center"/>
    </xf>
    <xf numFmtId="0" fontId="91" fillId="36" borderId="35" xfId="0" applyFont="1" applyFill="1" applyBorder="1" applyAlignment="1">
      <alignment horizontal="center" vertical="center"/>
    </xf>
    <xf numFmtId="164" fontId="91" fillId="36" borderId="35" xfId="0" applyNumberFormat="1" applyFont="1" applyFill="1" applyBorder="1" applyAlignment="1">
      <alignment horizontal="center" vertical="center"/>
    </xf>
    <xf numFmtId="164" fontId="91" fillId="36" borderId="15" xfId="0" applyNumberFormat="1" applyFont="1" applyFill="1" applyBorder="1" applyAlignment="1">
      <alignment horizontal="center" vertical="center"/>
    </xf>
    <xf numFmtId="0" fontId="93" fillId="36" borderId="44" xfId="0" applyNumberFormat="1" applyFont="1" applyFill="1" applyBorder="1" applyAlignment="1">
      <alignment horizontal="center"/>
    </xf>
    <xf numFmtId="0" fontId="93" fillId="0" borderId="44" xfId="0" applyNumberFormat="1" applyFont="1" applyBorder="1" applyAlignment="1">
      <alignment horizontal="center"/>
    </xf>
    <xf numFmtId="0" fontId="93" fillId="0" borderId="45" xfId="0" applyNumberFormat="1" applyFont="1" applyBorder="1" applyAlignment="1">
      <alignment horizontal="center"/>
    </xf>
    <xf numFmtId="0" fontId="0" fillId="0" borderId="0" xfId="0" applyAlignment="1">
      <alignment/>
    </xf>
    <xf numFmtId="0" fontId="91" fillId="36" borderId="46" xfId="0" applyFont="1" applyFill="1" applyBorder="1" applyAlignment="1">
      <alignment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37" borderId="35" xfId="0" applyNumberFormat="1" applyFont="1" applyFill="1" applyBorder="1" applyAlignment="1">
      <alignment horizontal="center" vertical="center"/>
    </xf>
    <xf numFmtId="49" fontId="3" fillId="37" borderId="3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9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90" fillId="0" borderId="48" xfId="0" applyFont="1" applyBorder="1" applyAlignment="1">
      <alignment horizontal="center" vertical="top" wrapText="1"/>
    </xf>
    <xf numFmtId="0" fontId="90" fillId="0" borderId="49" xfId="0" applyFont="1" applyBorder="1" applyAlignment="1">
      <alignment horizontal="center" vertical="top" wrapText="1"/>
    </xf>
    <xf numFmtId="0" fontId="90" fillId="0" borderId="5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3" fillId="38" borderId="35" xfId="0" applyFont="1" applyFill="1" applyBorder="1" applyAlignment="1">
      <alignment/>
    </xf>
    <xf numFmtId="0" fontId="96" fillId="0" borderId="35" xfId="0" applyFont="1" applyBorder="1" applyAlignment="1">
      <alignment/>
    </xf>
    <xf numFmtId="0" fontId="13" fillId="0" borderId="35" xfId="0" applyFont="1" applyFill="1" applyBorder="1" applyAlignment="1">
      <alignment/>
    </xf>
    <xf numFmtId="0" fontId="11" fillId="0" borderId="35" xfId="0" applyFont="1" applyFill="1" applyBorder="1" applyAlignment="1">
      <alignment wrapText="1"/>
    </xf>
    <xf numFmtId="0" fontId="13" fillId="0" borderId="35" xfId="0" applyFont="1" applyFill="1" applyBorder="1" applyAlignment="1">
      <alignment wrapText="1"/>
    </xf>
    <xf numFmtId="49" fontId="11" fillId="0" borderId="35" xfId="0" applyNumberFormat="1" applyFont="1" applyFill="1" applyBorder="1" applyAlignment="1">
      <alignment wrapText="1"/>
    </xf>
    <xf numFmtId="0" fontId="0" fillId="0" borderId="35" xfId="0" applyBorder="1" applyAlignment="1">
      <alignment/>
    </xf>
    <xf numFmtId="0" fontId="0" fillId="38" borderId="35" xfId="0" applyFill="1" applyBorder="1" applyAlignment="1">
      <alignment/>
    </xf>
    <xf numFmtId="0" fontId="96" fillId="38" borderId="35" xfId="0" applyFont="1" applyFill="1" applyBorder="1" applyAlignment="1">
      <alignment/>
    </xf>
    <xf numFmtId="0" fontId="0" fillId="36" borderId="35" xfId="0" applyFill="1" applyBorder="1" applyAlignment="1">
      <alignment/>
    </xf>
    <xf numFmtId="0" fontId="13" fillId="36" borderId="35" xfId="0" applyFont="1" applyFill="1" applyBorder="1" applyAlignment="1">
      <alignment/>
    </xf>
    <xf numFmtId="0" fontId="96" fillId="36" borderId="35" xfId="0" applyFont="1" applyFill="1" applyBorder="1" applyAlignment="1">
      <alignment/>
    </xf>
    <xf numFmtId="0" fontId="0" fillId="39" borderId="35" xfId="0" applyFill="1" applyBorder="1" applyAlignment="1">
      <alignment/>
    </xf>
    <xf numFmtId="0" fontId="13" fillId="39" borderId="35" xfId="0" applyFont="1" applyFill="1" applyBorder="1" applyAlignment="1">
      <alignment/>
    </xf>
    <xf numFmtId="0" fontId="96" fillId="39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0" fontId="96" fillId="0" borderId="35" xfId="0" applyFont="1" applyFill="1" applyBorder="1" applyAlignment="1">
      <alignment/>
    </xf>
    <xf numFmtId="0" fontId="97" fillId="0" borderId="35" xfId="0" applyFont="1" applyBorder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0" fontId="11" fillId="40" borderId="53" xfId="0" applyFont="1" applyFill="1" applyBorder="1" applyAlignment="1">
      <alignment wrapText="1"/>
    </xf>
    <xf numFmtId="0" fontId="13" fillId="40" borderId="53" xfId="0" applyFont="1" applyFill="1" applyBorder="1" applyAlignment="1">
      <alignment/>
    </xf>
    <xf numFmtId="0" fontId="13" fillId="40" borderId="54" xfId="0" applyNumberFormat="1" applyFont="1" applyFill="1" applyBorder="1" applyAlignment="1">
      <alignment horizontal="center" wrapText="1"/>
    </xf>
    <xf numFmtId="0" fontId="13" fillId="40" borderId="25" xfId="0" applyNumberFormat="1" applyFont="1" applyFill="1" applyBorder="1" applyAlignment="1">
      <alignment horizontal="center" wrapText="1"/>
    </xf>
    <xf numFmtId="1" fontId="13" fillId="40" borderId="25" xfId="0" applyNumberFormat="1" applyFont="1" applyFill="1" applyBorder="1" applyAlignment="1">
      <alignment horizontal="center" wrapText="1"/>
    </xf>
    <xf numFmtId="0" fontId="12" fillId="40" borderId="54" xfId="0" applyFont="1" applyFill="1" applyBorder="1" applyAlignment="1">
      <alignment horizontal="center"/>
    </xf>
    <xf numFmtId="0" fontId="12" fillId="40" borderId="25" xfId="0" applyFont="1" applyFill="1" applyBorder="1" applyAlignment="1">
      <alignment horizontal="center"/>
    </xf>
    <xf numFmtId="0" fontId="12" fillId="40" borderId="25" xfId="0" applyNumberFormat="1" applyFont="1" applyFill="1" applyBorder="1" applyAlignment="1">
      <alignment horizontal="center"/>
    </xf>
    <xf numFmtId="165" fontId="11" fillId="40" borderId="55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00" fillId="41" borderId="56" xfId="0" applyFont="1" applyFill="1" applyBorder="1" applyAlignment="1">
      <alignment horizontal="center" wrapText="1"/>
    </xf>
    <xf numFmtId="0" fontId="100" fillId="42" borderId="56" xfId="0" applyFont="1" applyFill="1" applyBorder="1" applyAlignment="1">
      <alignment horizontal="center" wrapText="1"/>
    </xf>
    <xf numFmtId="0" fontId="101" fillId="42" borderId="56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49" fontId="3" fillId="34" borderId="35" xfId="0" applyNumberFormat="1" applyFont="1" applyFill="1" applyBorder="1" applyAlignment="1">
      <alignment horizontal="center" vertical="center"/>
    </xf>
    <xf numFmtId="0" fontId="3" fillId="34" borderId="35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1" fontId="12" fillId="40" borderId="2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00" fillId="43" borderId="56" xfId="0" applyFont="1" applyFill="1" applyBorder="1" applyAlignment="1">
      <alignment horizontal="right" wrapText="1"/>
    </xf>
    <xf numFmtId="0" fontId="100" fillId="42" borderId="56" xfId="0" applyFont="1" applyFill="1" applyBorder="1" applyAlignment="1">
      <alignment horizontal="right" wrapText="1"/>
    </xf>
    <xf numFmtId="0" fontId="100" fillId="43" borderId="56" xfId="0" applyFont="1" applyFill="1" applyBorder="1" applyAlignment="1">
      <alignment horizontal="center" wrapText="1"/>
    </xf>
    <xf numFmtId="0" fontId="101" fillId="43" borderId="56" xfId="0" applyFont="1" applyFill="1" applyBorder="1" applyAlignment="1">
      <alignment wrapText="1"/>
    </xf>
    <xf numFmtId="0" fontId="13" fillId="40" borderId="57" xfId="0" applyFont="1" applyFill="1" applyBorder="1" applyAlignment="1">
      <alignment wrapText="1"/>
    </xf>
    <xf numFmtId="49" fontId="3" fillId="0" borderId="4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3" fillId="40" borderId="2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91" fillId="0" borderId="29" xfId="0" applyFont="1" applyBorder="1" applyAlignment="1">
      <alignment vertical="center"/>
    </xf>
    <xf numFmtId="0" fontId="91" fillId="0" borderId="58" xfId="0" applyFont="1" applyBorder="1" applyAlignment="1">
      <alignment vertical="center"/>
    </xf>
    <xf numFmtId="49" fontId="91" fillId="0" borderId="58" xfId="0" applyNumberFormat="1" applyFont="1" applyFill="1" applyBorder="1" applyAlignment="1">
      <alignment horizontal="center" vertical="center"/>
    </xf>
    <xf numFmtId="1" fontId="91" fillId="0" borderId="58" xfId="0" applyNumberFormat="1" applyFont="1" applyFill="1" applyBorder="1" applyAlignment="1">
      <alignment horizontal="center" vertical="center"/>
    </xf>
    <xf numFmtId="0" fontId="91" fillId="0" borderId="58" xfId="0" applyFont="1" applyBorder="1" applyAlignment="1">
      <alignment horizontal="center" vertical="center"/>
    </xf>
    <xf numFmtId="49" fontId="91" fillId="0" borderId="58" xfId="0" applyNumberFormat="1" applyFont="1" applyBorder="1" applyAlignment="1">
      <alignment horizontal="center" vertical="center"/>
    </xf>
    <xf numFmtId="164" fontId="91" fillId="0" borderId="58" xfId="0" applyNumberFormat="1" applyFont="1" applyBorder="1" applyAlignment="1">
      <alignment horizontal="center" vertical="center"/>
    </xf>
    <xf numFmtId="0" fontId="93" fillId="0" borderId="59" xfId="0" applyNumberFormat="1" applyFont="1" applyBorder="1" applyAlignment="1">
      <alignment horizontal="center"/>
    </xf>
    <xf numFmtId="164" fontId="91" fillId="0" borderId="17" xfId="0" applyNumberFormat="1" applyFont="1" applyBorder="1" applyAlignment="1">
      <alignment horizontal="center" vertical="center"/>
    </xf>
    <xf numFmtId="49" fontId="91" fillId="36" borderId="46" xfId="0" applyNumberFormat="1" applyFont="1" applyFill="1" applyBorder="1" applyAlignment="1">
      <alignment vertical="center"/>
    </xf>
    <xf numFmtId="0" fontId="11" fillId="40" borderId="57" xfId="0" applyFont="1" applyFill="1" applyBorder="1" applyAlignment="1">
      <alignment wrapText="1"/>
    </xf>
    <xf numFmtId="0" fontId="0" fillId="0" borderId="0" xfId="0" applyAlignment="1">
      <alignment/>
    </xf>
    <xf numFmtId="0" fontId="91" fillId="0" borderId="0" xfId="0" applyFont="1" applyFill="1" applyBorder="1" applyAlignment="1">
      <alignment vertical="center"/>
    </xf>
    <xf numFmtId="0" fontId="91" fillId="40" borderId="16" xfId="0" applyFont="1" applyFill="1" applyBorder="1" applyAlignment="1">
      <alignment vertical="center"/>
    </xf>
    <xf numFmtId="49" fontId="91" fillId="40" borderId="35" xfId="0" applyNumberFormat="1" applyFont="1" applyFill="1" applyBorder="1" applyAlignment="1">
      <alignment horizontal="center" vertical="center"/>
    </xf>
    <xf numFmtId="1" fontId="91" fillId="40" borderId="35" xfId="0" applyNumberFormat="1" applyFont="1" applyFill="1" applyBorder="1" applyAlignment="1">
      <alignment horizontal="center" vertical="center"/>
    </xf>
    <xf numFmtId="0" fontId="91" fillId="40" borderId="35" xfId="0" applyFont="1" applyFill="1" applyBorder="1" applyAlignment="1">
      <alignment horizontal="center" vertical="center"/>
    </xf>
    <xf numFmtId="164" fontId="91" fillId="40" borderId="35" xfId="0" applyNumberFormat="1" applyFont="1" applyFill="1" applyBorder="1" applyAlignment="1">
      <alignment horizontal="center" vertical="center"/>
    </xf>
    <xf numFmtId="49" fontId="93" fillId="0" borderId="44" xfId="0" applyNumberFormat="1" applyFont="1" applyBorder="1" applyAlignment="1">
      <alignment horizontal="center"/>
    </xf>
    <xf numFmtId="49" fontId="93" fillId="0" borderId="59" xfId="0" applyNumberFormat="1" applyFont="1" applyBorder="1" applyAlignment="1">
      <alignment horizontal="center"/>
    </xf>
    <xf numFmtId="49" fontId="93" fillId="0" borderId="45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4" fillId="0" borderId="34" xfId="0" applyNumberFormat="1" applyFont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49" fontId="3" fillId="34" borderId="17" xfId="0" applyNumberFormat="1" applyFont="1" applyFill="1" applyBorder="1" applyAlignment="1">
      <alignment horizontal="center" vertical="center"/>
    </xf>
    <xf numFmtId="0" fontId="3" fillId="34" borderId="61" xfId="0" applyNumberFormat="1" applyFont="1" applyFill="1" applyBorder="1" applyAlignment="1">
      <alignment horizontal="center" vertical="center"/>
    </xf>
    <xf numFmtId="0" fontId="3" fillId="34" borderId="17" xfId="0" applyNumberFormat="1" applyFont="1" applyFill="1" applyBorder="1" applyAlignment="1">
      <alignment horizontal="center" vertical="center"/>
    </xf>
    <xf numFmtId="49" fontId="3" fillId="40" borderId="35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Alignment="1">
      <alignment/>
    </xf>
    <xf numFmtId="0" fontId="102" fillId="0" borderId="0" xfId="0" applyFont="1" applyAlignment="1">
      <alignment/>
    </xf>
    <xf numFmtId="0" fontId="91" fillId="0" borderId="16" xfId="0" applyFont="1" applyFill="1" applyBorder="1" applyAlignment="1">
      <alignment vertical="center"/>
    </xf>
    <xf numFmtId="0" fontId="91" fillId="0" borderId="35" xfId="0" applyFont="1" applyFill="1" applyBorder="1" applyAlignment="1">
      <alignment vertical="center"/>
    </xf>
    <xf numFmtId="0" fontId="91" fillId="0" borderId="35" xfId="0" applyFont="1" applyFill="1" applyBorder="1" applyAlignment="1">
      <alignment horizontal="center" vertical="center"/>
    </xf>
    <xf numFmtId="164" fontId="91" fillId="0" borderId="35" xfId="0" applyNumberFormat="1" applyFont="1" applyFill="1" applyBorder="1" applyAlignment="1">
      <alignment horizontal="center" vertical="center"/>
    </xf>
    <xf numFmtId="49" fontId="93" fillId="0" borderId="44" xfId="0" applyNumberFormat="1" applyFont="1" applyFill="1" applyBorder="1" applyAlignment="1">
      <alignment horizontal="center"/>
    </xf>
    <xf numFmtId="49" fontId="91" fillId="0" borderId="46" xfId="0" applyNumberFormat="1" applyFont="1" applyFill="1" applyBorder="1" applyAlignment="1">
      <alignment vertical="center"/>
    </xf>
    <xf numFmtId="0" fontId="91" fillId="0" borderId="32" xfId="0" applyFont="1" applyBorder="1" applyAlignment="1">
      <alignment horizontal="center" vertical="center"/>
    </xf>
    <xf numFmtId="49" fontId="91" fillId="0" borderId="35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1" fontId="103" fillId="44" borderId="62" xfId="0" applyNumberFormat="1" applyFont="1" applyFill="1" applyBorder="1" applyAlignment="1">
      <alignment horizontal="right" vertical="center"/>
    </xf>
    <xf numFmtId="166" fontId="103" fillId="44" borderId="63" xfId="0" applyNumberFormat="1" applyFont="1" applyFill="1" applyBorder="1" applyAlignment="1">
      <alignment horizontal="left" vertical="center"/>
    </xf>
    <xf numFmtId="0" fontId="103" fillId="44" borderId="63" xfId="0" applyFont="1" applyFill="1" applyBorder="1" applyAlignment="1">
      <alignment horizontal="left" vertical="center"/>
    </xf>
    <xf numFmtId="0" fontId="22" fillId="44" borderId="54" xfId="0" applyFont="1" applyFill="1" applyBorder="1" applyAlignment="1">
      <alignment horizontal="center" vertical="center" wrapText="1"/>
    </xf>
    <xf numFmtId="0" fontId="22" fillId="44" borderId="25" xfId="0" applyFont="1" applyFill="1" applyBorder="1" applyAlignment="1">
      <alignment horizontal="center" vertical="center" wrapText="1"/>
    </xf>
    <xf numFmtId="165" fontId="22" fillId="44" borderId="25" xfId="0" applyNumberFormat="1" applyFont="1" applyFill="1" applyBorder="1" applyAlignment="1">
      <alignment horizontal="center" vertical="center" wrapText="1"/>
    </xf>
    <xf numFmtId="166" fontId="22" fillId="44" borderId="55" xfId="0" applyNumberFormat="1" applyFont="1" applyFill="1" applyBorder="1" applyAlignment="1">
      <alignment horizontal="center" vertical="center" wrapText="1"/>
    </xf>
    <xf numFmtId="165" fontId="22" fillId="44" borderId="55" xfId="0" applyNumberFormat="1" applyFont="1" applyFill="1" applyBorder="1" applyAlignment="1">
      <alignment horizontal="center" vertical="center" wrapText="1"/>
    </xf>
    <xf numFmtId="165" fontId="34" fillId="0" borderId="0" xfId="0" applyNumberFormat="1" applyFont="1" applyAlignment="1">
      <alignment/>
    </xf>
    <xf numFmtId="0" fontId="3" fillId="38" borderId="16" xfId="0" applyFont="1" applyFill="1" applyBorder="1" applyAlignment="1">
      <alignment vertical="center"/>
    </xf>
    <xf numFmtId="49" fontId="3" fillId="38" borderId="35" xfId="0" applyNumberFormat="1" applyFont="1" applyFill="1" applyBorder="1" applyAlignment="1">
      <alignment horizontal="center" vertical="center"/>
    </xf>
    <xf numFmtId="49" fontId="3" fillId="38" borderId="17" xfId="0" applyNumberFormat="1" applyFont="1" applyFill="1" applyBorder="1" applyAlignment="1">
      <alignment horizontal="center" vertical="center"/>
    </xf>
    <xf numFmtId="0" fontId="3" fillId="38" borderId="61" xfId="0" applyNumberFormat="1" applyFont="1" applyFill="1" applyBorder="1" applyAlignment="1">
      <alignment horizontal="center" vertical="center"/>
    </xf>
    <xf numFmtId="0" fontId="3" fillId="38" borderId="35" xfId="0" applyNumberFormat="1" applyFont="1" applyFill="1" applyBorder="1" applyAlignment="1">
      <alignment horizontal="center" vertical="center"/>
    </xf>
    <xf numFmtId="0" fontId="3" fillId="38" borderId="17" xfId="0" applyNumberFormat="1" applyFont="1" applyFill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1" fontId="6" fillId="37" borderId="35" xfId="0" applyNumberFormat="1" applyFont="1" applyFill="1" applyBorder="1" applyAlignment="1">
      <alignment horizontal="center" vertical="center"/>
    </xf>
    <xf numFmtId="0" fontId="3" fillId="40" borderId="16" xfId="0" applyFont="1" applyFill="1" applyBorder="1" applyAlignment="1">
      <alignment vertical="center"/>
    </xf>
    <xf numFmtId="0" fontId="3" fillId="40" borderId="35" xfId="0" applyFont="1" applyFill="1" applyBorder="1" applyAlignment="1">
      <alignment vertical="center"/>
    </xf>
    <xf numFmtId="49" fontId="3" fillId="40" borderId="17" xfId="0" applyNumberFormat="1" applyFont="1" applyFill="1" applyBorder="1" applyAlignment="1">
      <alignment horizontal="center" vertical="center"/>
    </xf>
    <xf numFmtId="0" fontId="3" fillId="40" borderId="61" xfId="0" applyNumberFormat="1" applyFont="1" applyFill="1" applyBorder="1" applyAlignment="1">
      <alignment horizontal="center" vertical="center"/>
    </xf>
    <xf numFmtId="0" fontId="3" fillId="40" borderId="35" xfId="0" applyNumberFormat="1" applyFont="1" applyFill="1" applyBorder="1" applyAlignment="1">
      <alignment horizontal="center" vertical="center"/>
    </xf>
    <xf numFmtId="0" fontId="3" fillId="40" borderId="17" xfId="0" applyNumberFormat="1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vertical="center"/>
    </xf>
    <xf numFmtId="49" fontId="3" fillId="45" borderId="35" xfId="0" applyNumberFormat="1" applyFont="1" applyFill="1" applyBorder="1" applyAlignment="1">
      <alignment horizontal="center" vertical="center"/>
    </xf>
    <xf numFmtId="49" fontId="3" fillId="45" borderId="17" xfId="0" applyNumberFormat="1" applyFont="1" applyFill="1" applyBorder="1" applyAlignment="1">
      <alignment horizontal="center" vertical="center"/>
    </xf>
    <xf numFmtId="0" fontId="3" fillId="45" borderId="61" xfId="0" applyNumberFormat="1" applyFont="1" applyFill="1" applyBorder="1" applyAlignment="1">
      <alignment horizontal="center" vertical="center"/>
    </xf>
    <xf numFmtId="0" fontId="3" fillId="45" borderId="35" xfId="0" applyNumberFormat="1" applyFont="1" applyFill="1" applyBorder="1" applyAlignment="1">
      <alignment horizontal="center" vertical="center"/>
    </xf>
    <xf numFmtId="0" fontId="3" fillId="45" borderId="17" xfId="0" applyNumberFormat="1" applyFont="1" applyFill="1" applyBorder="1" applyAlignment="1">
      <alignment horizontal="center" vertical="center"/>
    </xf>
    <xf numFmtId="0" fontId="91" fillId="40" borderId="18" xfId="0" applyFont="1" applyFill="1" applyBorder="1" applyAlignment="1">
      <alignment vertical="center"/>
    </xf>
    <xf numFmtId="1" fontId="91" fillId="40" borderId="36" xfId="0" applyNumberFormat="1" applyFont="1" applyFill="1" applyBorder="1" applyAlignment="1">
      <alignment horizontal="center" vertical="center"/>
    </xf>
    <xf numFmtId="0" fontId="91" fillId="40" borderId="36" xfId="0" applyFont="1" applyFill="1" applyBorder="1" applyAlignment="1">
      <alignment horizontal="center" vertical="center"/>
    </xf>
    <xf numFmtId="49" fontId="91" fillId="40" borderId="36" xfId="0" applyNumberFormat="1" applyFont="1" applyFill="1" applyBorder="1" applyAlignment="1">
      <alignment horizontal="center" vertical="center"/>
    </xf>
    <xf numFmtId="164" fontId="91" fillId="40" borderId="36" xfId="0" applyNumberFormat="1" applyFont="1" applyFill="1" applyBorder="1" applyAlignment="1">
      <alignment horizontal="center" vertical="center"/>
    </xf>
    <xf numFmtId="0" fontId="93" fillId="36" borderId="47" xfId="0" applyNumberFormat="1" applyFont="1" applyFill="1" applyBorder="1" applyAlignment="1">
      <alignment horizontal="center"/>
    </xf>
    <xf numFmtId="0" fontId="93" fillId="40" borderId="47" xfId="0" applyNumberFormat="1" applyFont="1" applyFill="1" applyBorder="1" applyAlignment="1">
      <alignment horizontal="center"/>
    </xf>
    <xf numFmtId="0" fontId="93" fillId="40" borderId="64" xfId="0" applyNumberFormat="1" applyFont="1" applyFill="1" applyBorder="1" applyAlignment="1">
      <alignment horizontal="center"/>
    </xf>
    <xf numFmtId="0" fontId="91" fillId="0" borderId="31" xfId="0" applyFont="1" applyBorder="1" applyAlignment="1">
      <alignment horizontal="center" vertical="center"/>
    </xf>
    <xf numFmtId="0" fontId="91" fillId="0" borderId="32" xfId="0" applyFont="1" applyFill="1" applyBorder="1" applyAlignment="1">
      <alignment horizontal="center" vertical="center"/>
    </xf>
    <xf numFmtId="49" fontId="91" fillId="0" borderId="32" xfId="0" applyNumberFormat="1" applyFont="1" applyBorder="1" applyAlignment="1">
      <alignment horizontal="center" vertical="center"/>
    </xf>
    <xf numFmtId="0" fontId="91" fillId="0" borderId="37" xfId="0" applyFont="1" applyBorder="1" applyAlignment="1">
      <alignment horizontal="center" vertical="center"/>
    </xf>
    <xf numFmtId="1" fontId="92" fillId="35" borderId="34" xfId="0" applyNumberFormat="1" applyFont="1" applyFill="1" applyBorder="1" applyAlignment="1">
      <alignment horizontal="center" vertical="center"/>
    </xf>
    <xf numFmtId="164" fontId="91" fillId="36" borderId="17" xfId="0" applyNumberFormat="1" applyFont="1" applyFill="1" applyBorder="1" applyAlignment="1">
      <alignment horizontal="center" vertical="center"/>
    </xf>
    <xf numFmtId="0" fontId="91" fillId="38" borderId="33" xfId="0" applyFont="1" applyFill="1" applyBorder="1" applyAlignment="1">
      <alignment vertical="center"/>
    </xf>
    <xf numFmtId="49" fontId="91" fillId="38" borderId="34" xfId="0" applyNumberFormat="1" applyFont="1" applyFill="1" applyBorder="1" applyAlignment="1">
      <alignment horizontal="center" vertical="center"/>
    </xf>
    <xf numFmtId="1" fontId="91" fillId="38" borderId="34" xfId="0" applyNumberFormat="1" applyFont="1" applyFill="1" applyBorder="1" applyAlignment="1">
      <alignment horizontal="center" vertical="center"/>
    </xf>
    <xf numFmtId="0" fontId="91" fillId="38" borderId="34" xfId="0" applyFont="1" applyFill="1" applyBorder="1" applyAlignment="1">
      <alignment horizontal="center" vertical="center"/>
    </xf>
    <xf numFmtId="164" fontId="91" fillId="38" borderId="34" xfId="0" applyNumberFormat="1" applyFont="1" applyFill="1" applyBorder="1" applyAlignment="1">
      <alignment horizontal="center" vertical="center"/>
    </xf>
    <xf numFmtId="164" fontId="91" fillId="38" borderId="42" xfId="0" applyNumberFormat="1" applyFont="1" applyFill="1" applyBorder="1" applyAlignment="1">
      <alignment horizontal="center" vertical="center"/>
    </xf>
    <xf numFmtId="0" fontId="93" fillId="38" borderId="64" xfId="0" applyNumberFormat="1" applyFont="1" applyFill="1" applyBorder="1" applyAlignment="1">
      <alignment horizontal="center"/>
    </xf>
    <xf numFmtId="0" fontId="11" fillId="40" borderId="53" xfId="0" applyFont="1" applyFill="1" applyBorder="1" applyAlignment="1">
      <alignment vertical="center" wrapText="1"/>
    </xf>
    <xf numFmtId="0" fontId="11" fillId="38" borderId="11" xfId="0" applyFont="1" applyFill="1" applyBorder="1" applyAlignment="1">
      <alignment horizontal="right" vertical="center" wrapText="1"/>
    </xf>
    <xf numFmtId="0" fontId="11" fillId="39" borderId="11" xfId="0" applyFont="1" applyFill="1" applyBorder="1" applyAlignment="1">
      <alignment horizontal="right" vertical="center" wrapText="1"/>
    </xf>
    <xf numFmtId="0" fontId="11" fillId="46" borderId="11" xfId="0" applyFont="1" applyFill="1" applyBorder="1" applyAlignment="1">
      <alignment horizontal="right" wrapText="1"/>
    </xf>
    <xf numFmtId="49" fontId="91" fillId="38" borderId="35" xfId="0" applyNumberFormat="1" applyFont="1" applyFill="1" applyBorder="1" applyAlignment="1">
      <alignment vertical="center"/>
    </xf>
    <xf numFmtId="0" fontId="93" fillId="38" borderId="43" xfId="0" applyNumberFormat="1" applyFont="1" applyFill="1" applyBorder="1" applyAlignment="1">
      <alignment horizontal="center"/>
    </xf>
    <xf numFmtId="0" fontId="93" fillId="0" borderId="44" xfId="0" applyNumberFormat="1" applyFont="1" applyFill="1" applyBorder="1" applyAlignment="1">
      <alignment horizontal="center"/>
    </xf>
    <xf numFmtId="0" fontId="104" fillId="0" borderId="0" xfId="0" applyFont="1" applyAlignment="1">
      <alignment horizontal="center" wrapText="1"/>
    </xf>
    <xf numFmtId="0" fontId="0" fillId="47" borderId="0" xfId="0" applyFill="1" applyAlignment="1">
      <alignment/>
    </xf>
    <xf numFmtId="49" fontId="11" fillId="0" borderId="5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3" fillId="39" borderId="16" xfId="0" applyFont="1" applyFill="1" applyBorder="1" applyAlignment="1">
      <alignment vertical="center"/>
    </xf>
    <xf numFmtId="49" fontId="3" fillId="39" borderId="35" xfId="0" applyNumberFormat="1" applyFont="1" applyFill="1" applyBorder="1" applyAlignment="1">
      <alignment horizontal="center" vertical="center"/>
    </xf>
    <xf numFmtId="0" fontId="3" fillId="39" borderId="33" xfId="0" applyNumberFormat="1" applyFont="1" applyFill="1" applyBorder="1" applyAlignment="1">
      <alignment horizontal="center" vertical="center"/>
    </xf>
    <xf numFmtId="49" fontId="3" fillId="39" borderId="34" xfId="0" applyNumberFormat="1" applyFont="1" applyFill="1" applyBorder="1" applyAlignment="1">
      <alignment horizontal="center" vertical="center"/>
    </xf>
    <xf numFmtId="0" fontId="3" fillId="39" borderId="34" xfId="0" applyNumberFormat="1" applyFont="1" applyFill="1" applyBorder="1" applyAlignment="1">
      <alignment horizontal="center" vertical="center"/>
    </xf>
    <xf numFmtId="0" fontId="3" fillId="39" borderId="50" xfId="0" applyNumberFormat="1" applyFont="1" applyFill="1" applyBorder="1" applyAlignment="1">
      <alignment horizontal="center" vertical="center"/>
    </xf>
    <xf numFmtId="0" fontId="3" fillId="39" borderId="16" xfId="0" applyNumberFormat="1" applyFont="1" applyFill="1" applyBorder="1" applyAlignment="1">
      <alignment horizontal="center" vertical="center"/>
    </xf>
    <xf numFmtId="0" fontId="3" fillId="39" borderId="35" xfId="0" applyNumberFormat="1" applyFont="1" applyFill="1" applyBorder="1" applyAlignment="1">
      <alignment horizontal="center" vertical="center"/>
    </xf>
    <xf numFmtId="0" fontId="3" fillId="39" borderId="47" xfId="0" applyNumberFormat="1" applyFont="1" applyFill="1" applyBorder="1" applyAlignment="1">
      <alignment horizontal="center" vertical="center"/>
    </xf>
    <xf numFmtId="0" fontId="3" fillId="40" borderId="18" xfId="0" applyFont="1" applyFill="1" applyBorder="1" applyAlignment="1">
      <alignment vertical="center"/>
    </xf>
    <xf numFmtId="0" fontId="3" fillId="40" borderId="36" xfId="0" applyFont="1" applyFill="1" applyBorder="1" applyAlignment="1">
      <alignment vertical="center"/>
    </xf>
    <xf numFmtId="49" fontId="3" fillId="40" borderId="36" xfId="0" applyNumberFormat="1" applyFont="1" applyFill="1" applyBorder="1" applyAlignment="1">
      <alignment horizontal="center" vertical="center"/>
    </xf>
    <xf numFmtId="0" fontId="5" fillId="39" borderId="35" xfId="0" applyFont="1" applyFill="1" applyBorder="1" applyAlignment="1">
      <alignment vertical="center"/>
    </xf>
    <xf numFmtId="0" fontId="105" fillId="48" borderId="0" xfId="0" applyFont="1" applyFill="1" applyAlignment="1">
      <alignment horizontal="left" wrapText="1"/>
    </xf>
    <xf numFmtId="16" fontId="105" fillId="48" borderId="0" xfId="0" applyNumberFormat="1" applyFont="1" applyFill="1" applyAlignment="1">
      <alignment horizontal="left" wrapText="1"/>
    </xf>
    <xf numFmtId="0" fontId="106" fillId="48" borderId="0" xfId="0" applyFont="1" applyFill="1" applyAlignment="1">
      <alignment horizontal="left" wrapText="1"/>
    </xf>
    <xf numFmtId="17" fontId="105" fillId="48" borderId="0" xfId="0" applyNumberFormat="1" applyFont="1" applyFill="1" applyAlignment="1">
      <alignment horizontal="left" wrapText="1"/>
    </xf>
    <xf numFmtId="0" fontId="105" fillId="48" borderId="65" xfId="0" applyFont="1" applyFill="1" applyBorder="1" applyAlignment="1">
      <alignment horizontal="left" wrapText="1"/>
    </xf>
    <xf numFmtId="0" fontId="105" fillId="48" borderId="66" xfId="0" applyFont="1" applyFill="1" applyBorder="1" applyAlignment="1">
      <alignment horizontal="left" wrapText="1"/>
    </xf>
    <xf numFmtId="0" fontId="105" fillId="48" borderId="67" xfId="0" applyFont="1" applyFill="1" applyBorder="1" applyAlignment="1">
      <alignment horizontal="left" wrapText="1"/>
    </xf>
    <xf numFmtId="0" fontId="105" fillId="48" borderId="68" xfId="0" applyFont="1" applyFill="1" applyBorder="1" applyAlignment="1">
      <alignment horizontal="left" wrapText="1"/>
    </xf>
    <xf numFmtId="16" fontId="105" fillId="48" borderId="69" xfId="0" applyNumberFormat="1" applyFont="1" applyFill="1" applyBorder="1" applyAlignment="1">
      <alignment horizontal="left" wrapText="1"/>
    </xf>
    <xf numFmtId="17" fontId="105" fillId="48" borderId="69" xfId="0" applyNumberFormat="1" applyFont="1" applyFill="1" applyBorder="1" applyAlignment="1">
      <alignment horizontal="left" wrapText="1"/>
    </xf>
    <xf numFmtId="0" fontId="105" fillId="48" borderId="70" xfId="0" applyFont="1" applyFill="1" applyBorder="1" applyAlignment="1">
      <alignment horizontal="left" wrapText="1"/>
    </xf>
    <xf numFmtId="0" fontId="105" fillId="48" borderId="71" xfId="0" applyFont="1" applyFill="1" applyBorder="1" applyAlignment="1">
      <alignment horizontal="left" wrapText="1"/>
    </xf>
    <xf numFmtId="17" fontId="105" fillId="48" borderId="71" xfId="0" applyNumberFormat="1" applyFont="1" applyFill="1" applyBorder="1" applyAlignment="1">
      <alignment horizontal="left" wrapText="1"/>
    </xf>
    <xf numFmtId="0" fontId="106" fillId="48" borderId="71" xfId="0" applyFont="1" applyFill="1" applyBorder="1" applyAlignment="1">
      <alignment horizontal="left" wrapText="1"/>
    </xf>
    <xf numFmtId="17" fontId="105" fillId="48" borderId="72" xfId="0" applyNumberFormat="1" applyFont="1" applyFill="1" applyBorder="1" applyAlignment="1">
      <alignment horizontal="left" wrapText="1"/>
    </xf>
    <xf numFmtId="0" fontId="100" fillId="43" borderId="56" xfId="0" applyFont="1" applyFill="1" applyBorder="1" applyAlignment="1">
      <alignment wrapText="1"/>
    </xf>
    <xf numFmtId="164" fontId="9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91" fillId="36" borderId="34" xfId="0" applyNumberFormat="1" applyFont="1" applyFill="1" applyBorder="1" applyAlignment="1">
      <alignment horizontal="center" vertical="center"/>
    </xf>
    <xf numFmtId="0" fontId="91" fillId="36" borderId="35" xfId="0" applyNumberFormat="1" applyFont="1" applyFill="1" applyBorder="1" applyAlignment="1">
      <alignment horizontal="center" vertical="center"/>
    </xf>
    <xf numFmtId="0" fontId="91" fillId="0" borderId="35" xfId="0" applyNumberFormat="1" applyFont="1" applyBorder="1" applyAlignment="1">
      <alignment horizontal="center" vertical="center"/>
    </xf>
    <xf numFmtId="0" fontId="91" fillId="0" borderId="58" xfId="0" applyNumberFormat="1" applyFont="1" applyBorder="1" applyAlignment="1">
      <alignment horizontal="center" vertical="center"/>
    </xf>
    <xf numFmtId="0" fontId="91" fillId="0" borderId="3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91" fillId="40" borderId="35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23" fillId="0" borderId="34" xfId="0" applyFont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39" borderId="17" xfId="0" applyNumberFormat="1" applyFont="1" applyFill="1" applyBorder="1" applyAlignment="1">
      <alignment horizontal="center" vertical="center"/>
    </xf>
    <xf numFmtId="49" fontId="3" fillId="49" borderId="35" xfId="0" applyNumberFormat="1" applyFont="1" applyFill="1" applyBorder="1" applyAlignment="1">
      <alignment horizontal="center" vertical="center"/>
    </xf>
    <xf numFmtId="0" fontId="3" fillId="49" borderId="35" xfId="0" applyNumberFormat="1" applyFont="1" applyFill="1" applyBorder="1" applyAlignment="1">
      <alignment horizontal="center" vertical="center"/>
    </xf>
    <xf numFmtId="49" fontId="3" fillId="49" borderId="36" xfId="0" applyNumberFormat="1" applyFont="1" applyFill="1" applyBorder="1" applyAlignment="1">
      <alignment horizontal="center" vertical="center"/>
    </xf>
    <xf numFmtId="0" fontId="5" fillId="39" borderId="73" xfId="0" applyFont="1" applyFill="1" applyBorder="1" applyAlignment="1">
      <alignment vertical="center"/>
    </xf>
    <xf numFmtId="49" fontId="3" fillId="39" borderId="61" xfId="0" applyNumberFormat="1" applyFont="1" applyFill="1" applyBorder="1" applyAlignment="1">
      <alignment horizontal="center" vertical="center"/>
    </xf>
    <xf numFmtId="1" fontId="6" fillId="49" borderId="33" xfId="0" applyNumberFormat="1" applyFont="1" applyFill="1" applyBorder="1" applyAlignment="1">
      <alignment horizontal="center" vertical="center"/>
    </xf>
    <xf numFmtId="49" fontId="3" fillId="39" borderId="42" xfId="0" applyNumberFormat="1" applyFont="1" applyFill="1" applyBorder="1" applyAlignment="1">
      <alignment horizontal="center" vertical="center"/>
    </xf>
    <xf numFmtId="49" fontId="3" fillId="39" borderId="16" xfId="0" applyNumberFormat="1" applyFont="1" applyFill="1" applyBorder="1" applyAlignment="1">
      <alignment horizontal="center" vertical="center"/>
    </xf>
    <xf numFmtId="49" fontId="3" fillId="39" borderId="17" xfId="0" applyNumberFormat="1" applyFont="1" applyFill="1" applyBorder="1" applyAlignment="1">
      <alignment horizontal="center" vertical="center"/>
    </xf>
    <xf numFmtId="49" fontId="3" fillId="39" borderId="18" xfId="0" applyNumberFormat="1" applyFont="1" applyFill="1" applyBorder="1" applyAlignment="1">
      <alignment horizontal="center" vertical="center"/>
    </xf>
    <xf numFmtId="49" fontId="3" fillId="39" borderId="36" xfId="0" applyNumberFormat="1" applyFont="1" applyFill="1" applyBorder="1" applyAlignment="1">
      <alignment horizontal="center" vertical="center"/>
    </xf>
    <xf numFmtId="49" fontId="3" fillId="49" borderId="19" xfId="0" applyNumberFormat="1" applyFont="1" applyFill="1" applyBorder="1" applyAlignment="1">
      <alignment horizontal="center" vertical="center"/>
    </xf>
    <xf numFmtId="0" fontId="5" fillId="45" borderId="35" xfId="0" applyFont="1" applyFill="1" applyBorder="1" applyAlignment="1">
      <alignment vertical="center"/>
    </xf>
    <xf numFmtId="0" fontId="5" fillId="38" borderId="35" xfId="0" applyFont="1" applyFill="1" applyBorder="1" applyAlignment="1">
      <alignment vertical="center"/>
    </xf>
    <xf numFmtId="0" fontId="5" fillId="34" borderId="35" xfId="0" applyFont="1" applyFill="1" applyBorder="1" applyAlignment="1">
      <alignment vertical="center"/>
    </xf>
    <xf numFmtId="164" fontId="91" fillId="0" borderId="17" xfId="0" applyNumberFormat="1" applyFont="1" applyFill="1" applyBorder="1" applyAlignment="1">
      <alignment horizontal="center" vertical="center"/>
    </xf>
    <xf numFmtId="0" fontId="91" fillId="38" borderId="35" xfId="0" applyFont="1" applyFill="1" applyBorder="1" applyAlignment="1">
      <alignment vertical="center"/>
    </xf>
    <xf numFmtId="0" fontId="91" fillId="38" borderId="34" xfId="0" applyNumberFormat="1" applyFont="1" applyFill="1" applyBorder="1" applyAlignment="1">
      <alignment horizontal="center" vertical="center"/>
    </xf>
    <xf numFmtId="0" fontId="91" fillId="40" borderId="36" xfId="0" applyNumberFormat="1" applyFont="1" applyFill="1" applyBorder="1" applyAlignment="1">
      <alignment horizontal="center" vertical="center"/>
    </xf>
    <xf numFmtId="166" fontId="34" fillId="0" borderId="0" xfId="0" applyNumberFormat="1" applyFont="1" applyAlignment="1">
      <alignment/>
    </xf>
    <xf numFmtId="0" fontId="0" fillId="0" borderId="0" xfId="0" applyAlignment="1">
      <alignment/>
    </xf>
    <xf numFmtId="49" fontId="5" fillId="34" borderId="35" xfId="0" applyNumberFormat="1" applyFont="1" applyFill="1" applyBorder="1" applyAlignment="1">
      <alignment horizontal="center" vertical="center"/>
    </xf>
    <xf numFmtId="49" fontId="5" fillId="45" borderId="35" xfId="0" applyNumberFormat="1" applyFont="1" applyFill="1" applyBorder="1" applyAlignment="1">
      <alignment horizontal="center" vertical="center"/>
    </xf>
    <xf numFmtId="49" fontId="5" fillId="40" borderId="35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0" fontId="100" fillId="50" borderId="74" xfId="0" applyFont="1" applyFill="1" applyBorder="1" applyAlignment="1">
      <alignment wrapText="1"/>
    </xf>
    <xf numFmtId="0" fontId="0" fillId="0" borderId="0" xfId="0" applyAlignment="1">
      <alignment/>
    </xf>
    <xf numFmtId="0" fontId="107" fillId="0" borderId="56" xfId="0" applyFont="1" applyBorder="1" applyAlignment="1">
      <alignment horizontal="center" vertical="center" wrapText="1"/>
    </xf>
    <xf numFmtId="0" fontId="108" fillId="0" borderId="56" xfId="0" applyFont="1" applyBorder="1" applyAlignment="1">
      <alignment vertical="center" wrapText="1"/>
    </xf>
    <xf numFmtId="0" fontId="108" fillId="0" borderId="56" xfId="0" applyFont="1" applyBorder="1" applyAlignment="1">
      <alignment horizontal="left" vertical="center" wrapText="1"/>
    </xf>
    <xf numFmtId="0" fontId="109" fillId="0" borderId="56" xfId="0" applyFont="1" applyBorder="1" applyAlignment="1">
      <alignment vertical="center" wrapText="1"/>
    </xf>
    <xf numFmtId="0" fontId="109" fillId="0" borderId="56" xfId="0" applyFont="1" applyBorder="1" applyAlignment="1">
      <alignment horizontal="left" vertical="center" wrapText="1"/>
    </xf>
    <xf numFmtId="0" fontId="109" fillId="0" borderId="56" xfId="0" applyFont="1" applyBorder="1" applyAlignment="1">
      <alignment horizontal="center" vertical="center" wrapText="1"/>
    </xf>
    <xf numFmtId="0" fontId="109" fillId="0" borderId="0" xfId="0" applyFont="1" applyAlignment="1">
      <alignment/>
    </xf>
    <xf numFmtId="0" fontId="108" fillId="51" borderId="56" xfId="0" applyFont="1" applyFill="1" applyBorder="1" applyAlignment="1">
      <alignment horizontal="center" vertical="center" wrapText="1"/>
    </xf>
    <xf numFmtId="20" fontId="109" fillId="0" borderId="56" xfId="0" applyNumberFormat="1" applyFont="1" applyBorder="1" applyAlignment="1">
      <alignment horizontal="center" vertical="center" wrapText="1"/>
    </xf>
    <xf numFmtId="20" fontId="110" fillId="0" borderId="56" xfId="0" applyNumberFormat="1" applyFont="1" applyBorder="1" applyAlignment="1">
      <alignment horizontal="center" vertical="center" wrapText="1"/>
    </xf>
    <xf numFmtId="0" fontId="108" fillId="0" borderId="56" xfId="0" applyFont="1" applyBorder="1" applyAlignment="1">
      <alignment horizontal="center" vertical="center" wrapText="1"/>
    </xf>
    <xf numFmtId="0" fontId="109" fillId="51" borderId="56" xfId="0" applyFont="1" applyFill="1" applyBorder="1" applyAlignment="1">
      <alignment horizontal="center" vertical="center" wrapText="1"/>
    </xf>
    <xf numFmtId="20" fontId="111" fillId="0" borderId="56" xfId="0" applyNumberFormat="1" applyFont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17" fontId="109" fillId="0" borderId="56" xfId="0" applyNumberFormat="1" applyFont="1" applyBorder="1" applyAlignment="1">
      <alignment horizontal="center" vertical="center" wrapText="1"/>
    </xf>
    <xf numFmtId="0" fontId="107" fillId="0" borderId="35" xfId="0" applyFont="1" applyBorder="1" applyAlignment="1">
      <alignment horizontal="center" vertical="center" wrapText="1"/>
    </xf>
    <xf numFmtId="49" fontId="3" fillId="0" borderId="35" xfId="54" applyNumberFormat="1" applyFont="1" applyBorder="1" applyAlignment="1">
      <alignment horizontal="center" vertical="center"/>
      <protection/>
    </xf>
    <xf numFmtId="0" fontId="108" fillId="0" borderId="35" xfId="0" applyFont="1" applyBorder="1" applyAlignment="1">
      <alignment vertical="center" wrapText="1"/>
    </xf>
    <xf numFmtId="0" fontId="108" fillId="0" borderId="35" xfId="0" applyFont="1" applyBorder="1" applyAlignment="1">
      <alignment horizontal="left" vertical="center" wrapText="1"/>
    </xf>
    <xf numFmtId="0" fontId="108" fillId="51" borderId="35" xfId="0" applyFont="1" applyFill="1" applyBorder="1" applyAlignment="1">
      <alignment horizontal="center" vertical="center" wrapText="1"/>
    </xf>
    <xf numFmtId="20" fontId="109" fillId="0" borderId="35" xfId="0" applyNumberFormat="1" applyFont="1" applyBorder="1" applyAlignment="1">
      <alignment horizontal="center" vertical="center" wrapText="1"/>
    </xf>
    <xf numFmtId="20" fontId="110" fillId="0" borderId="35" xfId="0" applyNumberFormat="1" applyFont="1" applyBorder="1" applyAlignment="1">
      <alignment horizontal="center" vertical="center" wrapText="1"/>
    </xf>
    <xf numFmtId="0" fontId="108" fillId="0" borderId="35" xfId="0" applyFont="1" applyBorder="1" applyAlignment="1">
      <alignment horizontal="center" vertical="center" wrapText="1"/>
    </xf>
    <xf numFmtId="1" fontId="5" fillId="0" borderId="35" xfId="54" applyNumberFormat="1" applyFont="1" applyBorder="1" applyAlignment="1">
      <alignment horizontal="center" vertical="center"/>
      <protection/>
    </xf>
    <xf numFmtId="0" fontId="5" fillId="0" borderId="35" xfId="54" applyNumberFormat="1" applyFont="1" applyBorder="1" applyAlignment="1">
      <alignment horizontal="center" vertical="center"/>
      <protection/>
    </xf>
    <xf numFmtId="0" fontId="109" fillId="0" borderId="35" xfId="0" applyFont="1" applyBorder="1" applyAlignment="1">
      <alignment vertical="center" wrapText="1"/>
    </xf>
    <xf numFmtId="0" fontId="109" fillId="0" borderId="35" xfId="0" applyFont="1" applyBorder="1" applyAlignment="1">
      <alignment horizontal="left" vertical="center" wrapText="1"/>
    </xf>
    <xf numFmtId="0" fontId="109" fillId="51" borderId="35" xfId="0" applyFont="1" applyFill="1" applyBorder="1" applyAlignment="1">
      <alignment horizontal="center" vertical="center" wrapText="1"/>
    </xf>
    <xf numFmtId="20" fontId="111" fillId="0" borderId="35" xfId="0" applyNumberFormat="1" applyFont="1" applyBorder="1" applyAlignment="1">
      <alignment horizontal="center" vertical="center" wrapText="1"/>
    </xf>
    <xf numFmtId="0" fontId="109" fillId="0" borderId="35" xfId="0" applyFont="1" applyBorder="1" applyAlignment="1">
      <alignment horizontal="center" vertical="center" wrapText="1"/>
    </xf>
    <xf numFmtId="0" fontId="100" fillId="52" borderId="56" xfId="0" applyFont="1" applyFill="1" applyBorder="1" applyAlignment="1">
      <alignment horizontal="right" wrapText="1"/>
    </xf>
    <xf numFmtId="0" fontId="100" fillId="52" borderId="56" xfId="0" applyFont="1" applyFill="1" applyBorder="1" applyAlignment="1">
      <alignment horizontal="center" wrapText="1"/>
    </xf>
    <xf numFmtId="0" fontId="101" fillId="0" borderId="0" xfId="0" applyFont="1" applyAlignment="1">
      <alignment/>
    </xf>
    <xf numFmtId="0" fontId="101" fillId="52" borderId="56" xfId="0" applyFont="1" applyFill="1" applyBorder="1" applyAlignment="1">
      <alignment wrapText="1"/>
    </xf>
    <xf numFmtId="0" fontId="0" fillId="0" borderId="0" xfId="0" applyAlignment="1">
      <alignment/>
    </xf>
    <xf numFmtId="0" fontId="112" fillId="0" borderId="56" xfId="0" applyFont="1" applyBorder="1" applyAlignment="1">
      <alignment vertical="center" wrapText="1"/>
    </xf>
    <xf numFmtId="0" fontId="113" fillId="0" borderId="56" xfId="0" applyFont="1" applyBorder="1" applyAlignment="1">
      <alignment vertical="center" wrapText="1"/>
    </xf>
    <xf numFmtId="0" fontId="114" fillId="0" borderId="56" xfId="0" applyFont="1" applyBorder="1" applyAlignment="1">
      <alignment vertical="center" wrapText="1"/>
    </xf>
    <xf numFmtId="0" fontId="112" fillId="0" borderId="56" xfId="0" applyFont="1" applyBorder="1" applyAlignment="1">
      <alignment horizontal="center" vertical="center" wrapText="1"/>
    </xf>
    <xf numFmtId="0" fontId="113" fillId="51" borderId="56" xfId="0" applyFont="1" applyFill="1" applyBorder="1" applyAlignment="1">
      <alignment horizontal="center" vertical="center" wrapText="1"/>
    </xf>
    <xf numFmtId="20" fontId="114" fillId="0" borderId="56" xfId="0" applyNumberFormat="1" applyFont="1" applyBorder="1" applyAlignment="1">
      <alignment horizontal="center" vertical="center" wrapText="1"/>
    </xf>
    <xf numFmtId="20" fontId="115" fillId="0" borderId="56" xfId="0" applyNumberFormat="1" applyFont="1" applyBorder="1" applyAlignment="1">
      <alignment horizontal="center" vertical="center" wrapText="1"/>
    </xf>
    <xf numFmtId="0" fontId="113" fillId="0" borderId="56" xfId="0" applyFont="1" applyBorder="1" applyAlignment="1">
      <alignment horizontal="center" vertical="center" wrapText="1"/>
    </xf>
    <xf numFmtId="20" fontId="116" fillId="0" borderId="56" xfId="0" applyNumberFormat="1" applyFont="1" applyBorder="1" applyAlignment="1">
      <alignment horizontal="center" vertical="center" wrapText="1"/>
    </xf>
    <xf numFmtId="0" fontId="114" fillId="51" borderId="56" xfId="0" applyFont="1" applyFill="1" applyBorder="1" applyAlignment="1">
      <alignment horizontal="center" vertical="center" wrapText="1"/>
    </xf>
    <xf numFmtId="0" fontId="114" fillId="0" borderId="56" xfId="0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166" fontId="13" fillId="40" borderId="55" xfId="0" applyNumberFormat="1" applyFont="1" applyFill="1" applyBorder="1" applyAlignment="1">
      <alignment horizontal="center" wrapText="1"/>
    </xf>
    <xf numFmtId="49" fontId="11" fillId="40" borderId="53" xfId="0" applyNumberFormat="1" applyFont="1" applyFill="1" applyBorder="1" applyAlignment="1">
      <alignment wrapText="1"/>
    </xf>
    <xf numFmtId="0" fontId="0" fillId="0" borderId="35" xfId="0" applyNumberFormat="1" applyBorder="1" applyAlignment="1">
      <alignment horizontal="center"/>
    </xf>
    <xf numFmtId="0" fontId="0" fillId="0" borderId="35" xfId="0" applyNumberFormat="1" applyBorder="1" applyAlignment="1">
      <alignment/>
    </xf>
    <xf numFmtId="0" fontId="101" fillId="40" borderId="35" xfId="0" applyFont="1" applyFill="1" applyBorder="1" applyAlignment="1">
      <alignment wrapText="1"/>
    </xf>
    <xf numFmtId="49" fontId="11" fillId="40" borderId="35" xfId="0" applyNumberFormat="1" applyFont="1" applyFill="1" applyBorder="1" applyAlignment="1">
      <alignment wrapText="1"/>
    </xf>
    <xf numFmtId="0" fontId="100" fillId="40" borderId="35" xfId="0" applyFont="1" applyFill="1" applyBorder="1" applyAlignment="1">
      <alignment wrapText="1"/>
    </xf>
    <xf numFmtId="0" fontId="0" fillId="0" borderId="35" xfId="0" applyNumberFormat="1" applyFill="1" applyBorder="1" applyAlignment="1">
      <alignment horizontal="center"/>
    </xf>
    <xf numFmtId="0" fontId="13" fillId="40" borderId="57" xfId="0" applyFont="1" applyFill="1" applyBorder="1" applyAlignment="1">
      <alignment/>
    </xf>
    <xf numFmtId="0" fontId="13" fillId="40" borderId="53" xfId="0" applyFont="1" applyFill="1" applyBorder="1" applyAlignment="1">
      <alignment wrapText="1"/>
    </xf>
    <xf numFmtId="165" fontId="10" fillId="40" borderId="75" xfId="0" applyNumberFormat="1" applyFont="1" applyFill="1" applyBorder="1" applyAlignment="1">
      <alignment horizontal="center"/>
    </xf>
    <xf numFmtId="0" fontId="117" fillId="40" borderId="53" xfId="0" applyFont="1" applyFill="1" applyBorder="1" applyAlignment="1">
      <alignment/>
    </xf>
    <xf numFmtId="0" fontId="117" fillId="40" borderId="57" xfId="0" applyFont="1" applyFill="1" applyBorder="1" applyAlignment="1">
      <alignment/>
    </xf>
    <xf numFmtId="0" fontId="0" fillId="0" borderId="0" xfId="0" applyAlignment="1">
      <alignment/>
    </xf>
    <xf numFmtId="0" fontId="0" fillId="53" borderId="0" xfId="0" applyFill="1" applyAlignment="1">
      <alignment/>
    </xf>
    <xf numFmtId="0" fontId="118" fillId="54" borderId="0" xfId="0" applyFont="1" applyFill="1" applyAlignment="1">
      <alignment horizontal="left" vertical="center" wrapText="1"/>
    </xf>
    <xf numFmtId="0" fontId="118" fillId="54" borderId="0" xfId="0" applyFont="1" applyFill="1" applyAlignment="1">
      <alignment horizontal="center" vertical="center" wrapText="1"/>
    </xf>
    <xf numFmtId="0" fontId="119" fillId="55" borderId="0" xfId="0" applyFont="1" applyFill="1" applyAlignment="1">
      <alignment wrapText="1"/>
    </xf>
    <xf numFmtId="0" fontId="74" fillId="56" borderId="0" xfId="42" applyFill="1" applyAlignment="1" applyProtection="1">
      <alignment wrapText="1"/>
      <protection/>
    </xf>
    <xf numFmtId="0" fontId="119" fillId="56" borderId="0" xfId="0" applyFont="1" applyFill="1" applyAlignment="1">
      <alignment horizontal="center" wrapText="1"/>
    </xf>
    <xf numFmtId="0" fontId="119" fillId="56" borderId="0" xfId="0" applyFont="1" applyFill="1" applyAlignment="1">
      <alignment horizontal="right" wrapText="1"/>
    </xf>
    <xf numFmtId="0" fontId="74" fillId="53" borderId="0" xfId="42" applyFill="1" applyAlignment="1" applyProtection="1">
      <alignment wrapText="1"/>
      <protection/>
    </xf>
    <xf numFmtId="0" fontId="119" fillId="53" borderId="0" xfId="0" applyFont="1" applyFill="1" applyAlignment="1">
      <alignment horizontal="center" wrapText="1"/>
    </xf>
    <xf numFmtId="0" fontId="119" fillId="53" borderId="0" xfId="0" applyFont="1" applyFill="1" applyAlignment="1">
      <alignment horizontal="right" wrapText="1"/>
    </xf>
    <xf numFmtId="0" fontId="119" fillId="56" borderId="0" xfId="0" applyFont="1" applyFill="1" applyAlignment="1">
      <alignment wrapText="1"/>
    </xf>
    <xf numFmtId="0" fontId="119" fillId="53" borderId="0" xfId="0" applyFont="1" applyFill="1" applyAlignment="1">
      <alignment wrapText="1"/>
    </xf>
    <xf numFmtId="0" fontId="119" fillId="53" borderId="76" xfId="0" applyFont="1" applyFill="1" applyBorder="1" applyAlignment="1">
      <alignment wrapText="1"/>
    </xf>
    <xf numFmtId="17" fontId="74" fillId="53" borderId="76" xfId="42" applyNumberFormat="1" applyFill="1" applyBorder="1" applyAlignment="1" applyProtection="1">
      <alignment wrapText="1"/>
      <protection/>
    </xf>
    <xf numFmtId="0" fontId="119" fillId="53" borderId="76" xfId="0" applyFont="1" applyFill="1" applyBorder="1" applyAlignment="1">
      <alignment horizontal="center" wrapText="1"/>
    </xf>
    <xf numFmtId="0" fontId="119" fillId="53" borderId="76" xfId="0" applyFont="1" applyFill="1" applyBorder="1" applyAlignment="1">
      <alignment horizontal="right" wrapText="1"/>
    </xf>
    <xf numFmtId="0" fontId="3" fillId="39" borderId="77" xfId="0" applyNumberFormat="1" applyFont="1" applyFill="1" applyBorder="1" applyAlignment="1">
      <alignment horizontal="center" vertical="center"/>
    </xf>
    <xf numFmtId="0" fontId="3" fillId="39" borderId="73" xfId="0" applyNumberFormat="1" applyFont="1" applyFill="1" applyBorder="1" applyAlignment="1">
      <alignment horizontal="center" vertical="center"/>
    </xf>
    <xf numFmtId="0" fontId="3" fillId="0" borderId="73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vertical="center"/>
    </xf>
    <xf numFmtId="0" fontId="90" fillId="0" borderId="0" xfId="0" applyFont="1" applyAlignment="1">
      <alignment/>
    </xf>
    <xf numFmtId="0" fontId="0" fillId="0" borderId="0" xfId="0" applyAlignment="1">
      <alignment/>
    </xf>
    <xf numFmtId="1" fontId="92" fillId="35" borderId="58" xfId="0" applyNumberFormat="1" applyFont="1" applyFill="1" applyBorder="1" applyAlignment="1">
      <alignment horizontal="center" vertical="center"/>
    </xf>
    <xf numFmtId="1" fontId="92" fillId="0" borderId="58" xfId="0" applyNumberFormat="1" applyFont="1" applyFill="1" applyBorder="1" applyAlignment="1">
      <alignment horizontal="center" vertical="center"/>
    </xf>
    <xf numFmtId="49" fontId="22" fillId="40" borderId="53" xfId="0" applyNumberFormat="1" applyFont="1" applyFill="1" applyBorder="1" applyAlignment="1">
      <alignment wrapText="1"/>
    </xf>
    <xf numFmtId="0" fontId="91" fillId="0" borderId="79" xfId="0" applyFont="1" applyFill="1" applyBorder="1" applyAlignment="1">
      <alignment horizontal="center" vertical="center"/>
    </xf>
    <xf numFmtId="0" fontId="0" fillId="0" borderId="0" xfId="0" applyAlignment="1">
      <alignment/>
    </xf>
    <xf numFmtId="49" fontId="3" fillId="0" borderId="19" xfId="0" applyNumberFormat="1" applyFont="1" applyFill="1" applyBorder="1" applyAlignment="1">
      <alignment horizontal="center" vertical="center"/>
    </xf>
    <xf numFmtId="49" fontId="11" fillId="40" borderId="57" xfId="0" applyNumberFormat="1" applyFont="1" applyFill="1" applyBorder="1" applyAlignment="1">
      <alignment wrapText="1"/>
    </xf>
    <xf numFmtId="0" fontId="91" fillId="0" borderId="46" xfId="0" applyFont="1" applyFill="1" applyBorder="1" applyAlignment="1">
      <alignment vertical="center"/>
    </xf>
    <xf numFmtId="1" fontId="91" fillId="0" borderId="79" xfId="0" applyNumberFormat="1" applyFont="1" applyFill="1" applyBorder="1" applyAlignment="1">
      <alignment horizontal="center" vertical="center"/>
    </xf>
    <xf numFmtId="0" fontId="91" fillId="0" borderId="35" xfId="0" applyNumberFormat="1" applyFont="1" applyFill="1" applyBorder="1" applyAlignment="1">
      <alignment horizontal="center" vertical="center"/>
    </xf>
    <xf numFmtId="1" fontId="92" fillId="0" borderId="35" xfId="0" applyNumberFormat="1" applyFont="1" applyFill="1" applyBorder="1" applyAlignment="1">
      <alignment horizontal="center" vertical="center"/>
    </xf>
    <xf numFmtId="1" fontId="92" fillId="0" borderId="36" xfId="0" applyNumberFormat="1" applyFont="1" applyFill="1" applyBorder="1" applyAlignment="1">
      <alignment horizontal="center" vertical="center"/>
    </xf>
    <xf numFmtId="0" fontId="11" fillId="40" borderId="80" xfId="0" applyFont="1" applyFill="1" applyBorder="1" applyAlignment="1">
      <alignment wrapText="1"/>
    </xf>
    <xf numFmtId="0" fontId="34" fillId="0" borderId="81" xfId="0" applyFont="1" applyBorder="1" applyAlignment="1">
      <alignment horizontal="center" wrapText="1"/>
    </xf>
    <xf numFmtId="0" fontId="33" fillId="0" borderId="5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2" fillId="44" borderId="38" xfId="0" applyFont="1" applyFill="1" applyBorder="1" applyAlignment="1">
      <alignment horizontal="center" vertical="center" wrapText="1"/>
    </xf>
    <xf numFmtId="0" fontId="22" fillId="44" borderId="11" xfId="0" applyFont="1" applyFill="1" applyBorder="1" applyAlignment="1">
      <alignment horizontal="center" vertical="center" wrapText="1"/>
    </xf>
    <xf numFmtId="0" fontId="22" fillId="44" borderId="82" xfId="0" applyFont="1" applyFill="1" applyBorder="1" applyAlignment="1">
      <alignment horizontal="center" vertical="center" wrapText="1"/>
    </xf>
    <xf numFmtId="0" fontId="22" fillId="44" borderId="83" xfId="0" applyFont="1" applyFill="1" applyBorder="1" applyAlignment="1">
      <alignment horizontal="center" vertical="center" wrapText="1"/>
    </xf>
    <xf numFmtId="0" fontId="22" fillId="44" borderId="84" xfId="0" applyFont="1" applyFill="1" applyBorder="1" applyAlignment="1">
      <alignment horizontal="center" vertical="center" wrapText="1"/>
    </xf>
    <xf numFmtId="0" fontId="22" fillId="44" borderId="75" xfId="0" applyFont="1" applyFill="1" applyBorder="1" applyAlignment="1">
      <alignment horizontal="center" vertical="center" wrapText="1"/>
    </xf>
    <xf numFmtId="0" fontId="103" fillId="44" borderId="85" xfId="0" applyFont="1" applyFill="1" applyBorder="1" applyAlignment="1">
      <alignment horizontal="center" vertical="center"/>
    </xf>
    <xf numFmtId="0" fontId="103" fillId="44" borderId="62" xfId="0" applyFont="1" applyFill="1" applyBorder="1" applyAlignment="1">
      <alignment horizontal="center" vertical="center"/>
    </xf>
    <xf numFmtId="0" fontId="103" fillId="44" borderId="63" xfId="0" applyFont="1" applyFill="1" applyBorder="1" applyAlignment="1">
      <alignment horizontal="center" vertical="center"/>
    </xf>
    <xf numFmtId="0" fontId="100" fillId="50" borderId="86" xfId="0" applyFont="1" applyFill="1" applyBorder="1" applyAlignment="1">
      <alignment wrapText="1"/>
    </xf>
    <xf numFmtId="0" fontId="100" fillId="50" borderId="74" xfId="0" applyFont="1" applyFill="1" applyBorder="1" applyAlignment="1">
      <alignment wrapText="1"/>
    </xf>
    <xf numFmtId="14" fontId="78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0" fontId="120" fillId="0" borderId="53" xfId="0" applyFont="1" applyBorder="1" applyAlignment="1">
      <alignment horizontal="center"/>
    </xf>
    <xf numFmtId="0" fontId="0" fillId="0" borderId="0" xfId="0" applyAlignment="1">
      <alignment/>
    </xf>
    <xf numFmtId="0" fontId="90" fillId="0" borderId="0" xfId="0" applyFont="1" applyAlignment="1">
      <alignment vertical="top" wrapText="1"/>
    </xf>
    <xf numFmtId="0" fontId="121" fillId="0" borderId="0" xfId="0" applyFont="1" applyAlignment="1">
      <alignment vertical="top" wrapText="1"/>
    </xf>
    <xf numFmtId="0" fontId="0" fillId="33" borderId="0" xfId="0" applyFill="1" applyAlignment="1">
      <alignment vertical="top" wrapText="1"/>
    </xf>
    <xf numFmtId="0" fontId="122" fillId="0" borderId="0" xfId="0" applyFont="1" applyAlignment="1">
      <alignment vertical="top" wrapText="1"/>
    </xf>
    <xf numFmtId="49" fontId="123" fillId="0" borderId="0" xfId="0" applyNumberFormat="1" applyFont="1" applyAlignment="1">
      <alignment horizontal="left" vertical="top" wrapText="1"/>
    </xf>
    <xf numFmtId="0" fontId="90" fillId="0" borderId="87" xfId="0" applyFont="1" applyBorder="1" applyAlignment="1">
      <alignment vertical="top" wrapText="1"/>
    </xf>
    <xf numFmtId="0" fontId="0" fillId="33" borderId="88" xfId="0" applyFill="1" applyBorder="1" applyAlignment="1">
      <alignment vertical="top" wrapText="1"/>
    </xf>
    <xf numFmtId="0" fontId="124" fillId="0" borderId="0" xfId="0" applyFont="1" applyAlignment="1">
      <alignment vertical="top" wrapText="1"/>
    </xf>
    <xf numFmtId="0" fontId="125" fillId="0" borderId="0" xfId="0" applyFont="1" applyAlignment="1">
      <alignment horizontal="center" vertical="top" wrapText="1"/>
    </xf>
    <xf numFmtId="0" fontId="126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sportgiant.net/games/777697" TargetMode="External" /><Relationship Id="rId3" Type="http://schemas.openxmlformats.org/officeDocument/2006/relationships/hyperlink" Target="http://sportgiant.net/games/777697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sportgiant.net/games/777700" TargetMode="External" /><Relationship Id="rId6" Type="http://schemas.openxmlformats.org/officeDocument/2006/relationships/hyperlink" Target="http://sportgiant.net/games/777700" TargetMode="External" /><Relationship Id="rId7" Type="http://schemas.openxmlformats.org/officeDocument/2006/relationships/hyperlink" Target="http://sportgiant.net/games/777705" TargetMode="External" /><Relationship Id="rId8" Type="http://schemas.openxmlformats.org/officeDocument/2006/relationships/hyperlink" Target="http://sportgiant.net/games/777705" TargetMode="External" /><Relationship Id="rId9" Type="http://schemas.openxmlformats.org/officeDocument/2006/relationships/hyperlink" Target="http://sportgiant.net/games/777710" TargetMode="External" /><Relationship Id="rId10" Type="http://schemas.openxmlformats.org/officeDocument/2006/relationships/hyperlink" Target="http://sportgiant.net/games/777710" TargetMode="External" /><Relationship Id="rId11" Type="http://schemas.openxmlformats.org/officeDocument/2006/relationships/hyperlink" Target="http://sportgiant.net/games/777715" TargetMode="External" /><Relationship Id="rId12" Type="http://schemas.openxmlformats.org/officeDocument/2006/relationships/hyperlink" Target="http://sportgiant.net/games/777715" TargetMode="External" /><Relationship Id="rId13" Type="http://schemas.openxmlformats.org/officeDocument/2006/relationships/hyperlink" Target="http://sportgiant.net/games/777699" TargetMode="External" /><Relationship Id="rId14" Type="http://schemas.openxmlformats.org/officeDocument/2006/relationships/hyperlink" Target="http://sportgiant.net/games/777699" TargetMode="External" /><Relationship Id="rId15" Type="http://schemas.openxmlformats.org/officeDocument/2006/relationships/hyperlink" Target="http://sportgiant.net/games/777703" TargetMode="External" /><Relationship Id="rId16" Type="http://schemas.openxmlformats.org/officeDocument/2006/relationships/hyperlink" Target="http://sportgiant.net/games/777703" TargetMode="External" /><Relationship Id="rId17" Type="http://schemas.openxmlformats.org/officeDocument/2006/relationships/hyperlink" Target="http://sportgiant.net/games/777706" TargetMode="External" /><Relationship Id="rId18" Type="http://schemas.openxmlformats.org/officeDocument/2006/relationships/hyperlink" Target="http://sportgiant.net/games/777706" TargetMode="External" /><Relationship Id="rId19" Type="http://schemas.openxmlformats.org/officeDocument/2006/relationships/hyperlink" Target="http://sportgiant.net/games/777709" TargetMode="External" /><Relationship Id="rId20" Type="http://schemas.openxmlformats.org/officeDocument/2006/relationships/hyperlink" Target="http://sportgiant.net/games/777709" TargetMode="External" /><Relationship Id="rId21" Type="http://schemas.openxmlformats.org/officeDocument/2006/relationships/hyperlink" Target="http://sportgiant.net/games/777712" TargetMode="External" /><Relationship Id="rId22" Type="http://schemas.openxmlformats.org/officeDocument/2006/relationships/hyperlink" Target="http://sportgiant.net/games/777712" TargetMode="External" /><Relationship Id="rId23" Type="http://schemas.openxmlformats.org/officeDocument/2006/relationships/hyperlink" Target="http://sportgiant.net/games/777698" TargetMode="External" /><Relationship Id="rId24" Type="http://schemas.openxmlformats.org/officeDocument/2006/relationships/hyperlink" Target="http://sportgiant.net/games/777698" TargetMode="External" /><Relationship Id="rId25" Type="http://schemas.openxmlformats.org/officeDocument/2006/relationships/hyperlink" Target="http://sportgiant.net/games/777701" TargetMode="External" /><Relationship Id="rId26" Type="http://schemas.openxmlformats.org/officeDocument/2006/relationships/hyperlink" Target="http://sportgiant.net/games/777701" TargetMode="External" /><Relationship Id="rId27" Type="http://schemas.openxmlformats.org/officeDocument/2006/relationships/hyperlink" Target="http://sportgiant.net/games/777704" TargetMode="External" /><Relationship Id="rId28" Type="http://schemas.openxmlformats.org/officeDocument/2006/relationships/hyperlink" Target="http://sportgiant.net/games/777704" TargetMode="External" /><Relationship Id="rId29" Type="http://schemas.openxmlformats.org/officeDocument/2006/relationships/hyperlink" Target="http://sportgiant.net/games/777709" TargetMode="External" /><Relationship Id="rId30" Type="http://schemas.openxmlformats.org/officeDocument/2006/relationships/hyperlink" Target="http://sportgiant.net/games/777709" TargetMode="External" /><Relationship Id="rId31" Type="http://schemas.openxmlformats.org/officeDocument/2006/relationships/hyperlink" Target="http://sportgiant.net/games/777714" TargetMode="External" /><Relationship Id="rId32" Type="http://schemas.openxmlformats.org/officeDocument/2006/relationships/hyperlink" Target="http://sportgiant.net/games/777714" TargetMode="External" /><Relationship Id="rId33" Type="http://schemas.openxmlformats.org/officeDocument/2006/relationships/hyperlink" Target="http://sportgiant.net/games/777697" TargetMode="External" /><Relationship Id="rId34" Type="http://schemas.openxmlformats.org/officeDocument/2006/relationships/hyperlink" Target="http://sportgiant.net/games/777697" TargetMode="External" /><Relationship Id="rId35" Type="http://schemas.openxmlformats.org/officeDocument/2006/relationships/hyperlink" Target="http://sportgiant.net/games/777702" TargetMode="External" /><Relationship Id="rId36" Type="http://schemas.openxmlformats.org/officeDocument/2006/relationships/hyperlink" Target="http://sportgiant.net/games/777702" TargetMode="External" /><Relationship Id="rId37" Type="http://schemas.openxmlformats.org/officeDocument/2006/relationships/hyperlink" Target="http://sportgiant.net/games/777707" TargetMode="External" /><Relationship Id="rId38" Type="http://schemas.openxmlformats.org/officeDocument/2006/relationships/hyperlink" Target="http://sportgiant.net/games/777707" TargetMode="External" /><Relationship Id="rId39" Type="http://schemas.openxmlformats.org/officeDocument/2006/relationships/hyperlink" Target="http://sportgiant.net/games/777711" TargetMode="External" /><Relationship Id="rId40" Type="http://schemas.openxmlformats.org/officeDocument/2006/relationships/hyperlink" Target="http://sportgiant.net/games/777711" TargetMode="External" /><Relationship Id="rId41" Type="http://schemas.openxmlformats.org/officeDocument/2006/relationships/hyperlink" Target="http://sportgiant.net/games/777714" TargetMode="External" /><Relationship Id="rId42" Type="http://schemas.openxmlformats.org/officeDocument/2006/relationships/hyperlink" Target="http://sportgiant.net/games/777714" TargetMode="External" /><Relationship Id="rId43" Type="http://schemas.openxmlformats.org/officeDocument/2006/relationships/hyperlink" Target="http://sportgiant.net/games/777696" TargetMode="External" /><Relationship Id="rId44" Type="http://schemas.openxmlformats.org/officeDocument/2006/relationships/hyperlink" Target="http://sportgiant.net/games/777696" TargetMode="External" /><Relationship Id="rId45" Type="http://schemas.openxmlformats.org/officeDocument/2006/relationships/hyperlink" Target="http://sportgiant.net/games/777701" TargetMode="External" /><Relationship Id="rId46" Type="http://schemas.openxmlformats.org/officeDocument/2006/relationships/hyperlink" Target="http://sportgiant.net/games/777701" TargetMode="External" /><Relationship Id="rId47" Type="http://schemas.openxmlformats.org/officeDocument/2006/relationships/hyperlink" Target="http://sportgiant.net/games/777706" TargetMode="External" /><Relationship Id="rId48" Type="http://schemas.openxmlformats.org/officeDocument/2006/relationships/hyperlink" Target="http://sportgiant.net/games/777706" TargetMode="External" /><Relationship Id="rId49" Type="http://schemas.openxmlformats.org/officeDocument/2006/relationships/hyperlink" Target="http://sportgiant.net/games/777711" TargetMode="External" /><Relationship Id="rId50" Type="http://schemas.openxmlformats.org/officeDocument/2006/relationships/hyperlink" Target="http://sportgiant.net/games/777711" TargetMode="External" /><Relationship Id="rId51" Type="http://schemas.openxmlformats.org/officeDocument/2006/relationships/hyperlink" Target="http://sportgiant.net/games/777715" TargetMode="External" /><Relationship Id="rId52" Type="http://schemas.openxmlformats.org/officeDocument/2006/relationships/hyperlink" Target="http://sportgiant.net/games/777715" TargetMode="External" /><Relationship Id="rId53" Type="http://schemas.openxmlformats.org/officeDocument/2006/relationships/hyperlink" Target="http://sportgiant.net/games/777696" TargetMode="External" /><Relationship Id="rId54" Type="http://schemas.openxmlformats.org/officeDocument/2006/relationships/hyperlink" Target="http://sportgiant.net/games/777696" TargetMode="External" /><Relationship Id="rId55" Type="http://schemas.openxmlformats.org/officeDocument/2006/relationships/hyperlink" Target="http://sportgiant.net/games/777700" TargetMode="External" /><Relationship Id="rId56" Type="http://schemas.openxmlformats.org/officeDocument/2006/relationships/hyperlink" Target="http://sportgiant.net/games/777700" TargetMode="External" /><Relationship Id="rId57" Type="http://schemas.openxmlformats.org/officeDocument/2006/relationships/hyperlink" Target="http://sportgiant.net/games/777704" TargetMode="External" /><Relationship Id="rId58" Type="http://schemas.openxmlformats.org/officeDocument/2006/relationships/hyperlink" Target="http://sportgiant.net/games/777704" TargetMode="External" /><Relationship Id="rId59" Type="http://schemas.openxmlformats.org/officeDocument/2006/relationships/hyperlink" Target="http://sportgiant.net/games/777708" TargetMode="External" /><Relationship Id="rId60" Type="http://schemas.openxmlformats.org/officeDocument/2006/relationships/hyperlink" Target="http://sportgiant.net/games/777708" TargetMode="External" /><Relationship Id="rId61" Type="http://schemas.openxmlformats.org/officeDocument/2006/relationships/hyperlink" Target="http://sportgiant.net/games/777712" TargetMode="External" /><Relationship Id="rId62" Type="http://schemas.openxmlformats.org/officeDocument/2006/relationships/hyperlink" Target="http://sportgiant.net/games/777712" TargetMode="External" /><Relationship Id="rId63" Type="http://schemas.openxmlformats.org/officeDocument/2006/relationships/hyperlink" Target="http://sportgiant.net/games/777699" TargetMode="External" /><Relationship Id="rId64" Type="http://schemas.openxmlformats.org/officeDocument/2006/relationships/hyperlink" Target="http://sportgiant.net/games/777699" TargetMode="External" /><Relationship Id="rId65" Type="http://schemas.openxmlformats.org/officeDocument/2006/relationships/hyperlink" Target="http://sportgiant.net/games/777702" TargetMode="External" /><Relationship Id="rId66" Type="http://schemas.openxmlformats.org/officeDocument/2006/relationships/hyperlink" Target="http://sportgiant.net/games/777702" TargetMode="External" /><Relationship Id="rId67" Type="http://schemas.openxmlformats.org/officeDocument/2006/relationships/hyperlink" Target="http://sportgiant.net/games/777705" TargetMode="External" /><Relationship Id="rId68" Type="http://schemas.openxmlformats.org/officeDocument/2006/relationships/hyperlink" Target="http://sportgiant.net/games/777705" TargetMode="External" /><Relationship Id="rId69" Type="http://schemas.openxmlformats.org/officeDocument/2006/relationships/hyperlink" Target="http://sportgiant.net/games/777708" TargetMode="External" /><Relationship Id="rId70" Type="http://schemas.openxmlformats.org/officeDocument/2006/relationships/hyperlink" Target="http://sportgiant.net/games/777708" TargetMode="External" /><Relationship Id="rId71" Type="http://schemas.openxmlformats.org/officeDocument/2006/relationships/hyperlink" Target="http://sportgiant.net/games/777713" TargetMode="External" /><Relationship Id="rId72" Type="http://schemas.openxmlformats.org/officeDocument/2006/relationships/hyperlink" Target="http://sportgiant.net/games/777713" TargetMode="External" /><Relationship Id="rId73" Type="http://schemas.openxmlformats.org/officeDocument/2006/relationships/hyperlink" Target="http://sportgiant.net/games/777698" TargetMode="External" /><Relationship Id="rId74" Type="http://schemas.openxmlformats.org/officeDocument/2006/relationships/hyperlink" Target="http://sportgiant.net/games/777698" TargetMode="External" /><Relationship Id="rId75" Type="http://schemas.openxmlformats.org/officeDocument/2006/relationships/hyperlink" Target="http://sportgiant.net/games/777703" TargetMode="External" /><Relationship Id="rId76" Type="http://schemas.openxmlformats.org/officeDocument/2006/relationships/hyperlink" Target="http://sportgiant.net/games/777703" TargetMode="External" /><Relationship Id="rId77" Type="http://schemas.openxmlformats.org/officeDocument/2006/relationships/hyperlink" Target="http://sportgiant.net/games/777707" TargetMode="External" /><Relationship Id="rId78" Type="http://schemas.openxmlformats.org/officeDocument/2006/relationships/hyperlink" Target="http://sportgiant.net/games/777707" TargetMode="External" /><Relationship Id="rId79" Type="http://schemas.openxmlformats.org/officeDocument/2006/relationships/hyperlink" Target="http://sportgiant.net/games/777710" TargetMode="External" /><Relationship Id="rId80" Type="http://schemas.openxmlformats.org/officeDocument/2006/relationships/hyperlink" Target="http://sportgiant.net/games/777710" TargetMode="External" /><Relationship Id="rId81" Type="http://schemas.openxmlformats.org/officeDocument/2006/relationships/hyperlink" Target="http://sportgiant.net/games/777713" TargetMode="External" /><Relationship Id="rId82" Type="http://schemas.openxmlformats.org/officeDocument/2006/relationships/hyperlink" Target="http://sportgiant.net/games/777713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2</xdr:row>
      <xdr:rowOff>0</xdr:rowOff>
    </xdr:from>
    <xdr:to>
      <xdr:col>26</xdr:col>
      <xdr:colOff>209550</xdr:colOff>
      <xdr:row>2</xdr:row>
      <xdr:rowOff>209550</xdr:rowOff>
    </xdr:to>
    <xdr:pic>
      <xdr:nvPicPr>
        <xdr:cNvPr id="1" name="Picture 2" descr="Результат 2 7d06b8bc2e863b6d9b992dd986d6907f5790cd71dca4bd8af82d508907ac23a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44950" y="504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2</xdr:row>
      <xdr:rowOff>0</xdr:rowOff>
    </xdr:from>
    <xdr:to>
      <xdr:col>26</xdr:col>
      <xdr:colOff>428625</xdr:colOff>
      <xdr:row>2</xdr:row>
      <xdr:rowOff>209550</xdr:rowOff>
    </xdr:to>
    <xdr:pic>
      <xdr:nvPicPr>
        <xdr:cNvPr id="2" name="Picture 3" descr="Результат 0 2d43c8fc928275fa9a43cdc786fd2731bbf6463fc3c22bd11cf1b050806163a8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64025" y="504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438150</xdr:colOff>
      <xdr:row>2</xdr:row>
      <xdr:rowOff>0</xdr:rowOff>
    </xdr:from>
    <xdr:to>
      <xdr:col>27</xdr:col>
      <xdr:colOff>38100</xdr:colOff>
      <xdr:row>2</xdr:row>
      <xdr:rowOff>209550</xdr:rowOff>
    </xdr:to>
    <xdr:pic>
      <xdr:nvPicPr>
        <xdr:cNvPr id="3" name="Picture 4" descr="Результат 2 7d06b8bc2e863b6d9b992dd986d6907f5790cd71dca4bd8af82d508907ac23a3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83100" y="504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2</xdr:row>
      <xdr:rowOff>0</xdr:rowOff>
    </xdr:from>
    <xdr:to>
      <xdr:col>27</xdr:col>
      <xdr:colOff>257175</xdr:colOff>
      <xdr:row>2</xdr:row>
      <xdr:rowOff>209550</xdr:rowOff>
    </xdr:to>
    <xdr:pic>
      <xdr:nvPicPr>
        <xdr:cNvPr id="4" name="Picture 5" descr="Результат 2 7d06b8bc2e863b6d9b992dd986d6907f5790cd71dca4bd8af82d508907ac23a3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2175" y="504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266700</xdr:colOff>
      <xdr:row>2</xdr:row>
      <xdr:rowOff>0</xdr:rowOff>
    </xdr:from>
    <xdr:to>
      <xdr:col>27</xdr:col>
      <xdr:colOff>476250</xdr:colOff>
      <xdr:row>2</xdr:row>
      <xdr:rowOff>209550</xdr:rowOff>
    </xdr:to>
    <xdr:pic>
      <xdr:nvPicPr>
        <xdr:cNvPr id="5" name="Picture 6" descr="Результат 2 7d06b8bc2e863b6d9b992dd986d6907f5790cd71dca4bd8af82d508907ac23a3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0" y="504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3</xdr:row>
      <xdr:rowOff>0</xdr:rowOff>
    </xdr:from>
    <xdr:to>
      <xdr:col>26</xdr:col>
      <xdr:colOff>209550</xdr:colOff>
      <xdr:row>3</xdr:row>
      <xdr:rowOff>209550</xdr:rowOff>
    </xdr:to>
    <xdr:pic>
      <xdr:nvPicPr>
        <xdr:cNvPr id="6" name="Picture 8" descr="Результат 0 2d43c8fc928275fa9a43cdc786fd2731bbf6463fc3c22bd11cf1b050806163a8">
          <a:hlinkClick r:id="rId1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44950" y="1114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3</xdr:row>
      <xdr:rowOff>0</xdr:rowOff>
    </xdr:from>
    <xdr:to>
      <xdr:col>26</xdr:col>
      <xdr:colOff>428625</xdr:colOff>
      <xdr:row>3</xdr:row>
      <xdr:rowOff>209550</xdr:rowOff>
    </xdr:to>
    <xdr:pic>
      <xdr:nvPicPr>
        <xdr:cNvPr id="7" name="Picture 9" descr="Результат 2 7d06b8bc2e863b6d9b992dd986d6907f5790cd71dca4bd8af82d508907ac23a3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64025" y="1114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438150</xdr:colOff>
      <xdr:row>3</xdr:row>
      <xdr:rowOff>0</xdr:rowOff>
    </xdr:from>
    <xdr:to>
      <xdr:col>27</xdr:col>
      <xdr:colOff>38100</xdr:colOff>
      <xdr:row>3</xdr:row>
      <xdr:rowOff>209550</xdr:rowOff>
    </xdr:to>
    <xdr:pic>
      <xdr:nvPicPr>
        <xdr:cNvPr id="8" name="Picture 10" descr="Результат 0 2d43c8fc928275fa9a43cdc786fd2731bbf6463fc3c22bd11cf1b050806163a8">
          <a:hlinkClick r:id="rId1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83100" y="1114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3</xdr:row>
      <xdr:rowOff>0</xdr:rowOff>
    </xdr:from>
    <xdr:to>
      <xdr:col>27</xdr:col>
      <xdr:colOff>257175</xdr:colOff>
      <xdr:row>3</xdr:row>
      <xdr:rowOff>209550</xdr:rowOff>
    </xdr:to>
    <xdr:pic>
      <xdr:nvPicPr>
        <xdr:cNvPr id="9" name="Picture 11" descr="Результат 2 7d06b8bc2e863b6d9b992dd986d6907f5790cd71dca4bd8af82d508907ac23a3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2175" y="1114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266700</xdr:colOff>
      <xdr:row>3</xdr:row>
      <xdr:rowOff>0</xdr:rowOff>
    </xdr:from>
    <xdr:to>
      <xdr:col>27</xdr:col>
      <xdr:colOff>476250</xdr:colOff>
      <xdr:row>3</xdr:row>
      <xdr:rowOff>209550</xdr:rowOff>
    </xdr:to>
    <xdr:pic>
      <xdr:nvPicPr>
        <xdr:cNvPr id="10" name="Picture 12" descr="Результат 2 7d06b8bc2e863b6d9b992dd986d6907f5790cd71dca4bd8af82d508907ac23a3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0" y="1114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4</xdr:row>
      <xdr:rowOff>0</xdr:rowOff>
    </xdr:from>
    <xdr:to>
      <xdr:col>26</xdr:col>
      <xdr:colOff>209550</xdr:colOff>
      <xdr:row>4</xdr:row>
      <xdr:rowOff>200025</xdr:rowOff>
    </xdr:to>
    <xdr:pic>
      <xdr:nvPicPr>
        <xdr:cNvPr id="11" name="Picture 14" descr="Результат 0 2d43c8fc928275fa9a43cdc786fd2731bbf6463fc3c22bd11cf1b050806163a8">
          <a:hlinkClick r:id="rId2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44950" y="14192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4</xdr:row>
      <xdr:rowOff>0</xdr:rowOff>
    </xdr:from>
    <xdr:to>
      <xdr:col>26</xdr:col>
      <xdr:colOff>428625</xdr:colOff>
      <xdr:row>4</xdr:row>
      <xdr:rowOff>200025</xdr:rowOff>
    </xdr:to>
    <xdr:pic>
      <xdr:nvPicPr>
        <xdr:cNvPr id="12" name="Picture 15" descr="Результат 2 7d06b8bc2e863b6d9b992dd986d6907f5790cd71dca4bd8af82d508907ac23a3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64025" y="14192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438150</xdr:colOff>
      <xdr:row>4</xdr:row>
      <xdr:rowOff>0</xdr:rowOff>
    </xdr:from>
    <xdr:to>
      <xdr:col>27</xdr:col>
      <xdr:colOff>38100</xdr:colOff>
      <xdr:row>4</xdr:row>
      <xdr:rowOff>200025</xdr:rowOff>
    </xdr:to>
    <xdr:pic>
      <xdr:nvPicPr>
        <xdr:cNvPr id="13" name="Picture 16" descr="Результат 0 2d43c8fc928275fa9a43cdc786fd2731bbf6463fc3c22bd11cf1b050806163a8">
          <a:hlinkClick r:id="rId2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83100" y="14192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4</xdr:row>
      <xdr:rowOff>0</xdr:rowOff>
    </xdr:from>
    <xdr:to>
      <xdr:col>27</xdr:col>
      <xdr:colOff>257175</xdr:colOff>
      <xdr:row>4</xdr:row>
      <xdr:rowOff>200025</xdr:rowOff>
    </xdr:to>
    <xdr:pic>
      <xdr:nvPicPr>
        <xdr:cNvPr id="14" name="Picture 17" descr="Результат 0 2d43c8fc928275fa9a43cdc786fd2731bbf6463fc3c22bd11cf1b050806163a8">
          <a:hlinkClick r:id="rId3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02175" y="14192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266700</xdr:colOff>
      <xdr:row>4</xdr:row>
      <xdr:rowOff>0</xdr:rowOff>
    </xdr:from>
    <xdr:to>
      <xdr:col>27</xdr:col>
      <xdr:colOff>476250</xdr:colOff>
      <xdr:row>4</xdr:row>
      <xdr:rowOff>200025</xdr:rowOff>
    </xdr:to>
    <xdr:pic>
      <xdr:nvPicPr>
        <xdr:cNvPr id="15" name="Picture 18" descr="Результат 2 7d06b8bc2e863b6d9b992dd986d6907f5790cd71dca4bd8af82d508907ac23a3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0" y="14192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5</xdr:row>
      <xdr:rowOff>0</xdr:rowOff>
    </xdr:from>
    <xdr:to>
      <xdr:col>26</xdr:col>
      <xdr:colOff>209550</xdr:colOff>
      <xdr:row>5</xdr:row>
      <xdr:rowOff>200025</xdr:rowOff>
    </xdr:to>
    <xdr:pic>
      <xdr:nvPicPr>
        <xdr:cNvPr id="16" name="Picture 20" descr="Результат 0 2d43c8fc928275fa9a43cdc786fd2731bbf6463fc3c22bd11cf1b050806163a8">
          <a:hlinkClick r:id="rId3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44950" y="17240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5</xdr:row>
      <xdr:rowOff>0</xdr:rowOff>
    </xdr:from>
    <xdr:to>
      <xdr:col>26</xdr:col>
      <xdr:colOff>428625</xdr:colOff>
      <xdr:row>5</xdr:row>
      <xdr:rowOff>200025</xdr:rowOff>
    </xdr:to>
    <xdr:pic>
      <xdr:nvPicPr>
        <xdr:cNvPr id="17" name="Picture 21" descr="Результат 2 7d06b8bc2e863b6d9b992dd986d6907f5790cd71dca4bd8af82d508907ac23a3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64025" y="17240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438150</xdr:colOff>
      <xdr:row>5</xdr:row>
      <xdr:rowOff>0</xdr:rowOff>
    </xdr:from>
    <xdr:to>
      <xdr:col>27</xdr:col>
      <xdr:colOff>38100</xdr:colOff>
      <xdr:row>5</xdr:row>
      <xdr:rowOff>200025</xdr:rowOff>
    </xdr:to>
    <xdr:pic>
      <xdr:nvPicPr>
        <xdr:cNvPr id="18" name="Picture 22" descr="Результат 2 7d06b8bc2e863b6d9b992dd986d6907f5790cd71dca4bd8af82d508907ac23a3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83100" y="17240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5</xdr:row>
      <xdr:rowOff>0</xdr:rowOff>
    </xdr:from>
    <xdr:to>
      <xdr:col>27</xdr:col>
      <xdr:colOff>257175</xdr:colOff>
      <xdr:row>5</xdr:row>
      <xdr:rowOff>200025</xdr:rowOff>
    </xdr:to>
    <xdr:pic>
      <xdr:nvPicPr>
        <xdr:cNvPr id="19" name="Picture 23" descr="Результат 2 7d06b8bc2e863b6d9b992dd986d6907f5790cd71dca4bd8af82d508907ac23a3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2175" y="17240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266700</xdr:colOff>
      <xdr:row>5</xdr:row>
      <xdr:rowOff>0</xdr:rowOff>
    </xdr:from>
    <xdr:to>
      <xdr:col>27</xdr:col>
      <xdr:colOff>476250</xdr:colOff>
      <xdr:row>5</xdr:row>
      <xdr:rowOff>200025</xdr:rowOff>
    </xdr:to>
    <xdr:pic>
      <xdr:nvPicPr>
        <xdr:cNvPr id="20" name="Picture 24" descr="Результат 0 2d43c8fc928275fa9a43cdc786fd2731bbf6463fc3c22bd11cf1b050806163a8">
          <a:hlinkClick r:id="rId4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621250" y="17240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6</xdr:row>
      <xdr:rowOff>0</xdr:rowOff>
    </xdr:from>
    <xdr:to>
      <xdr:col>26</xdr:col>
      <xdr:colOff>209550</xdr:colOff>
      <xdr:row>6</xdr:row>
      <xdr:rowOff>200025</xdr:rowOff>
    </xdr:to>
    <xdr:pic>
      <xdr:nvPicPr>
        <xdr:cNvPr id="21" name="Picture 26" descr="Результат 2 7d06b8bc2e863b6d9b992dd986d6907f5790cd71dca4bd8af82d508907ac23a3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44950" y="20097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6</xdr:row>
      <xdr:rowOff>0</xdr:rowOff>
    </xdr:from>
    <xdr:to>
      <xdr:col>26</xdr:col>
      <xdr:colOff>428625</xdr:colOff>
      <xdr:row>6</xdr:row>
      <xdr:rowOff>200025</xdr:rowOff>
    </xdr:to>
    <xdr:pic>
      <xdr:nvPicPr>
        <xdr:cNvPr id="22" name="Picture 27" descr="Результат 0 2d43c8fc928275fa9a43cdc786fd2731bbf6463fc3c22bd11cf1b050806163a8">
          <a:hlinkClick r:id="rId4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64025" y="20097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438150</xdr:colOff>
      <xdr:row>6</xdr:row>
      <xdr:rowOff>0</xdr:rowOff>
    </xdr:from>
    <xdr:to>
      <xdr:col>27</xdr:col>
      <xdr:colOff>38100</xdr:colOff>
      <xdr:row>6</xdr:row>
      <xdr:rowOff>200025</xdr:rowOff>
    </xdr:to>
    <xdr:pic>
      <xdr:nvPicPr>
        <xdr:cNvPr id="23" name="Picture 28" descr="Результат 2 7d06b8bc2e863b6d9b992dd986d6907f5790cd71dca4bd8af82d508907ac23a3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83100" y="20097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6</xdr:row>
      <xdr:rowOff>0</xdr:rowOff>
    </xdr:from>
    <xdr:to>
      <xdr:col>27</xdr:col>
      <xdr:colOff>257175</xdr:colOff>
      <xdr:row>6</xdr:row>
      <xdr:rowOff>200025</xdr:rowOff>
    </xdr:to>
    <xdr:pic>
      <xdr:nvPicPr>
        <xdr:cNvPr id="24" name="Picture 29" descr="Результат 0 2d43c8fc928275fa9a43cdc786fd2731bbf6463fc3c22bd11cf1b050806163a8">
          <a:hlinkClick r:id="rId5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02175" y="20097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266700</xdr:colOff>
      <xdr:row>6</xdr:row>
      <xdr:rowOff>0</xdr:rowOff>
    </xdr:from>
    <xdr:to>
      <xdr:col>27</xdr:col>
      <xdr:colOff>476250</xdr:colOff>
      <xdr:row>6</xdr:row>
      <xdr:rowOff>200025</xdr:rowOff>
    </xdr:to>
    <xdr:pic>
      <xdr:nvPicPr>
        <xdr:cNvPr id="25" name="Picture 30" descr="Результат 0 2d43c8fc928275fa9a43cdc786fd2731bbf6463fc3c22bd11cf1b050806163a8">
          <a:hlinkClick r:id="rId5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621250" y="20097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209550</xdr:colOff>
      <xdr:row>7</xdr:row>
      <xdr:rowOff>209550</xdr:rowOff>
    </xdr:to>
    <xdr:pic>
      <xdr:nvPicPr>
        <xdr:cNvPr id="26" name="Picture 32" descr="Результат 0 2d43c8fc928275fa9a43cdc786fd2731bbf6463fc3c22bd11cf1b050806163a8">
          <a:hlinkClick r:id="rId5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44950" y="2314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7</xdr:row>
      <xdr:rowOff>0</xdr:rowOff>
    </xdr:from>
    <xdr:to>
      <xdr:col>26</xdr:col>
      <xdr:colOff>428625</xdr:colOff>
      <xdr:row>7</xdr:row>
      <xdr:rowOff>209550</xdr:rowOff>
    </xdr:to>
    <xdr:pic>
      <xdr:nvPicPr>
        <xdr:cNvPr id="27" name="Picture 33" descr="Результат 2 7d06b8bc2e863b6d9b992dd986d6907f5790cd71dca4bd8af82d508907ac23a3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64025" y="2314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438150</xdr:colOff>
      <xdr:row>7</xdr:row>
      <xdr:rowOff>0</xdr:rowOff>
    </xdr:from>
    <xdr:to>
      <xdr:col>27</xdr:col>
      <xdr:colOff>38100</xdr:colOff>
      <xdr:row>7</xdr:row>
      <xdr:rowOff>209550</xdr:rowOff>
    </xdr:to>
    <xdr:pic>
      <xdr:nvPicPr>
        <xdr:cNvPr id="28" name="Picture 34" descr="Результат 2 7d06b8bc2e863b6d9b992dd986d6907f5790cd71dca4bd8af82d508907ac23a3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83100" y="2314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7</xdr:row>
      <xdr:rowOff>0</xdr:rowOff>
    </xdr:from>
    <xdr:to>
      <xdr:col>27</xdr:col>
      <xdr:colOff>257175</xdr:colOff>
      <xdr:row>7</xdr:row>
      <xdr:rowOff>209550</xdr:rowOff>
    </xdr:to>
    <xdr:pic>
      <xdr:nvPicPr>
        <xdr:cNvPr id="29" name="Picture 35" descr="Результат 0 2d43c8fc928275fa9a43cdc786fd2731bbf6463fc3c22bd11cf1b050806163a8">
          <a:hlinkClick r:id="rId6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02175" y="2314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266700</xdr:colOff>
      <xdr:row>7</xdr:row>
      <xdr:rowOff>0</xdr:rowOff>
    </xdr:from>
    <xdr:to>
      <xdr:col>27</xdr:col>
      <xdr:colOff>476250</xdr:colOff>
      <xdr:row>7</xdr:row>
      <xdr:rowOff>209550</xdr:rowOff>
    </xdr:to>
    <xdr:pic>
      <xdr:nvPicPr>
        <xdr:cNvPr id="30" name="Picture 36" descr="Результат 0 2d43c8fc928275fa9a43cdc786fd2731bbf6463fc3c22bd11cf1b050806163a8">
          <a:hlinkClick r:id="rId6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621250" y="2314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8</xdr:row>
      <xdr:rowOff>0</xdr:rowOff>
    </xdr:from>
    <xdr:to>
      <xdr:col>26</xdr:col>
      <xdr:colOff>209550</xdr:colOff>
      <xdr:row>8</xdr:row>
      <xdr:rowOff>200025</xdr:rowOff>
    </xdr:to>
    <xdr:pic>
      <xdr:nvPicPr>
        <xdr:cNvPr id="31" name="Picture 38" descr="Результат 2 7d06b8bc2e863b6d9b992dd986d6907f5790cd71dca4bd8af82d508907ac23a3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44950" y="27717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8</xdr:row>
      <xdr:rowOff>0</xdr:rowOff>
    </xdr:from>
    <xdr:to>
      <xdr:col>26</xdr:col>
      <xdr:colOff>428625</xdr:colOff>
      <xdr:row>8</xdr:row>
      <xdr:rowOff>200025</xdr:rowOff>
    </xdr:to>
    <xdr:pic>
      <xdr:nvPicPr>
        <xdr:cNvPr id="32" name="Picture 39" descr="Результат 0 2d43c8fc928275fa9a43cdc786fd2731bbf6463fc3c22bd11cf1b050806163a8">
          <a:hlinkClick r:id="rId6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64025" y="27717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438150</xdr:colOff>
      <xdr:row>8</xdr:row>
      <xdr:rowOff>0</xdr:rowOff>
    </xdr:from>
    <xdr:to>
      <xdr:col>27</xdr:col>
      <xdr:colOff>38100</xdr:colOff>
      <xdr:row>8</xdr:row>
      <xdr:rowOff>200025</xdr:rowOff>
    </xdr:to>
    <xdr:pic>
      <xdr:nvPicPr>
        <xdr:cNvPr id="33" name="Picture 40" descr="Результат 0 2d43c8fc928275fa9a43cdc786fd2731bbf6463fc3c22bd11cf1b050806163a8">
          <a:hlinkClick r:id="rId6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83100" y="27717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8</xdr:row>
      <xdr:rowOff>0</xdr:rowOff>
    </xdr:from>
    <xdr:to>
      <xdr:col>27</xdr:col>
      <xdr:colOff>257175</xdr:colOff>
      <xdr:row>8</xdr:row>
      <xdr:rowOff>200025</xdr:rowOff>
    </xdr:to>
    <xdr:pic>
      <xdr:nvPicPr>
        <xdr:cNvPr id="34" name="Picture 41" descr="Результат 2 7d06b8bc2e863b6d9b992dd986d6907f5790cd71dca4bd8af82d508907ac23a3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2175" y="27717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266700</xdr:colOff>
      <xdr:row>8</xdr:row>
      <xdr:rowOff>0</xdr:rowOff>
    </xdr:from>
    <xdr:to>
      <xdr:col>27</xdr:col>
      <xdr:colOff>476250</xdr:colOff>
      <xdr:row>8</xdr:row>
      <xdr:rowOff>200025</xdr:rowOff>
    </xdr:to>
    <xdr:pic>
      <xdr:nvPicPr>
        <xdr:cNvPr id="35" name="Picture 42" descr="Результат 2 7d06b8bc2e863b6d9b992dd986d6907f5790cd71dca4bd8af82d508907ac23a3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0" y="27717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9</xdr:row>
      <xdr:rowOff>0</xdr:rowOff>
    </xdr:from>
    <xdr:to>
      <xdr:col>26</xdr:col>
      <xdr:colOff>209550</xdr:colOff>
      <xdr:row>9</xdr:row>
      <xdr:rowOff>200025</xdr:rowOff>
    </xdr:to>
    <xdr:pic>
      <xdr:nvPicPr>
        <xdr:cNvPr id="36" name="Picture 44" descr="Результат 2 7d06b8bc2e863b6d9b992dd986d6907f5790cd71dca4bd8af82d508907ac23a3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44950" y="30765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9</xdr:row>
      <xdr:rowOff>0</xdr:rowOff>
    </xdr:from>
    <xdr:to>
      <xdr:col>26</xdr:col>
      <xdr:colOff>428625</xdr:colOff>
      <xdr:row>9</xdr:row>
      <xdr:rowOff>200025</xdr:rowOff>
    </xdr:to>
    <xdr:pic>
      <xdr:nvPicPr>
        <xdr:cNvPr id="37" name="Picture 45" descr="Результат 0 2d43c8fc928275fa9a43cdc786fd2731bbf6463fc3c22bd11cf1b050806163a8">
          <a:hlinkClick r:id="rId7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64025" y="30765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438150</xdr:colOff>
      <xdr:row>9</xdr:row>
      <xdr:rowOff>0</xdr:rowOff>
    </xdr:from>
    <xdr:to>
      <xdr:col>27</xdr:col>
      <xdr:colOff>38100</xdr:colOff>
      <xdr:row>9</xdr:row>
      <xdr:rowOff>200025</xdr:rowOff>
    </xdr:to>
    <xdr:pic>
      <xdr:nvPicPr>
        <xdr:cNvPr id="38" name="Picture 46" descr="Результат 0 2d43c8fc928275fa9a43cdc786fd2731bbf6463fc3c22bd11cf1b050806163a8">
          <a:hlinkClick r:id="rId7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83100" y="30765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9</xdr:row>
      <xdr:rowOff>0</xdr:rowOff>
    </xdr:from>
    <xdr:to>
      <xdr:col>27</xdr:col>
      <xdr:colOff>257175</xdr:colOff>
      <xdr:row>9</xdr:row>
      <xdr:rowOff>200025</xdr:rowOff>
    </xdr:to>
    <xdr:pic>
      <xdr:nvPicPr>
        <xdr:cNvPr id="39" name="Picture 47" descr="Результат 0 2d43c8fc928275fa9a43cdc786fd2731bbf6463fc3c22bd11cf1b050806163a8">
          <a:hlinkClick r:id="rId8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402175" y="30765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266700</xdr:colOff>
      <xdr:row>9</xdr:row>
      <xdr:rowOff>0</xdr:rowOff>
    </xdr:from>
    <xdr:to>
      <xdr:col>27</xdr:col>
      <xdr:colOff>476250</xdr:colOff>
      <xdr:row>9</xdr:row>
      <xdr:rowOff>200025</xdr:rowOff>
    </xdr:to>
    <xdr:pic>
      <xdr:nvPicPr>
        <xdr:cNvPr id="40" name="Picture 48" descr="Результат 0 2d43c8fc928275fa9a43cdc786fd2731bbf6463fc3c22bd11cf1b050806163a8">
          <a:hlinkClick r:id="rId8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621250" y="307657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sportgiant.net/competitions/spartakiada-2016/teams/professionaly-prognoza" TargetMode="External" /><Relationship Id="rId2" Type="http://schemas.openxmlformats.org/officeDocument/2006/relationships/hyperlink" Target="http://sportgiant.net/competitions/spartakiada-2016/teams/mlfpa-ru" TargetMode="External" /><Relationship Id="rId3" Type="http://schemas.openxmlformats.org/officeDocument/2006/relationships/hyperlink" Target="http://sportgiant.net/competitions/spartakiada-2016/teams/russian-roulette" TargetMode="External" /><Relationship Id="rId4" Type="http://schemas.openxmlformats.org/officeDocument/2006/relationships/hyperlink" Target="http://sportgiant.net/competitions/spartakiada-2016/teams/kanonir-com" TargetMode="External" /><Relationship Id="rId5" Type="http://schemas.openxmlformats.org/officeDocument/2006/relationships/hyperlink" Target="http://sportgiant.net/competitions/spartakiada-2016/teams/vfl-kbk" TargetMode="External" /><Relationship Id="rId6" Type="http://schemas.openxmlformats.org/officeDocument/2006/relationships/hyperlink" Target="http://sportgiant.net/competitions/spartakiada-2016/teams/fpk-prognoz-ru" TargetMode="External" /><Relationship Id="rId7" Type="http://schemas.openxmlformats.org/officeDocument/2006/relationships/hyperlink" Target="http://sportgiant.net/competitions/spartakiada-2016/teams/red-army-ru" TargetMode="External" /><Relationship Id="rId8" Type="http://schemas.openxmlformats.org/officeDocument/2006/relationships/hyperlink" Target="http://sportgiant.net/competitions/spartakiada-2016/teams/7-40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M15" sqref="AM15"/>
    </sheetView>
  </sheetViews>
  <sheetFormatPr defaultColWidth="9.140625" defaultRowHeight="15" outlineLevelCol="1"/>
  <cols>
    <col min="1" max="1" width="5.421875" style="4" customWidth="1"/>
    <col min="2" max="2" width="37.00390625" style="4" customWidth="1"/>
    <col min="3" max="7" width="10.140625" style="4" hidden="1" customWidth="1" outlineLevel="1"/>
    <col min="8" max="8" width="10.140625" style="42" customWidth="1" collapsed="1"/>
    <col min="9" max="13" width="10.140625" style="4" hidden="1" customWidth="1" outlineLevel="1"/>
    <col min="14" max="14" width="10.140625" style="4" customWidth="1" collapsed="1"/>
    <col min="15" max="19" width="10.140625" style="4" hidden="1" customWidth="1" outlineLevel="1"/>
    <col min="20" max="20" width="10.140625" style="4" customWidth="1" collapsed="1"/>
    <col min="21" max="25" width="10.140625" style="4" hidden="1" customWidth="1" outlineLevel="1"/>
    <col min="26" max="26" width="10.140625" style="4" customWidth="1" collapsed="1"/>
    <col min="27" max="28" width="10.7109375" style="8" hidden="1" customWidth="1" outlineLevel="1"/>
    <col min="29" max="31" width="10.7109375" style="9" hidden="1" customWidth="1" outlineLevel="1"/>
    <col min="32" max="32" width="10.7109375" style="9" customWidth="1" collapsed="1"/>
    <col min="33" max="33" width="10.7109375" style="8" customWidth="1"/>
    <col min="34" max="16384" width="9.140625" style="4" customWidth="1"/>
  </cols>
  <sheetData>
    <row r="1" spans="1:34" ht="21" thickBot="1">
      <c r="A1" s="459" t="s">
        <v>465</v>
      </c>
      <c r="B1" s="459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229"/>
    </row>
    <row r="2" spans="1:34" ht="16.5" thickBot="1" thickTop="1">
      <c r="A2" s="461" t="s">
        <v>26</v>
      </c>
      <c r="B2" s="463" t="s">
        <v>27</v>
      </c>
      <c r="C2" s="467" t="s">
        <v>466</v>
      </c>
      <c r="D2" s="468"/>
      <c r="E2" s="468"/>
      <c r="F2" s="468"/>
      <c r="G2" s="230"/>
      <c r="H2" s="231"/>
      <c r="I2" s="467" t="s">
        <v>84</v>
      </c>
      <c r="J2" s="468"/>
      <c r="K2" s="468"/>
      <c r="L2" s="468"/>
      <c r="M2" s="230"/>
      <c r="N2" s="232"/>
      <c r="O2" s="467" t="s">
        <v>464</v>
      </c>
      <c r="P2" s="468"/>
      <c r="Q2" s="468"/>
      <c r="R2" s="468"/>
      <c r="S2" s="468"/>
      <c r="T2" s="469"/>
      <c r="U2" s="467" t="s">
        <v>173</v>
      </c>
      <c r="V2" s="468"/>
      <c r="W2" s="468"/>
      <c r="X2" s="468"/>
      <c r="Y2" s="468"/>
      <c r="Z2" s="469"/>
      <c r="AA2" s="467" t="s">
        <v>316</v>
      </c>
      <c r="AB2" s="468"/>
      <c r="AC2" s="468"/>
      <c r="AD2" s="468"/>
      <c r="AE2" s="230"/>
      <c r="AF2" s="232"/>
      <c r="AG2" s="465" t="s">
        <v>28</v>
      </c>
      <c r="AH2" s="458"/>
    </row>
    <row r="3" spans="1:34" ht="39" thickBot="1">
      <c r="A3" s="462"/>
      <c r="B3" s="464"/>
      <c r="C3" s="233" t="s">
        <v>31</v>
      </c>
      <c r="D3" s="234" t="s">
        <v>29</v>
      </c>
      <c r="E3" s="235" t="s">
        <v>52</v>
      </c>
      <c r="F3" s="235" t="s">
        <v>32</v>
      </c>
      <c r="G3" s="235" t="s">
        <v>30</v>
      </c>
      <c r="H3" s="236" t="s">
        <v>81</v>
      </c>
      <c r="I3" s="233" t="s">
        <v>31</v>
      </c>
      <c r="J3" s="234" t="s">
        <v>29</v>
      </c>
      <c r="K3" s="235" t="s">
        <v>52</v>
      </c>
      <c r="L3" s="235" t="s">
        <v>32</v>
      </c>
      <c r="M3" s="235" t="s">
        <v>30</v>
      </c>
      <c r="N3" s="237" t="s">
        <v>85</v>
      </c>
      <c r="O3" s="233" t="s">
        <v>31</v>
      </c>
      <c r="P3" s="234" t="s">
        <v>29</v>
      </c>
      <c r="Q3" s="235" t="s">
        <v>52</v>
      </c>
      <c r="R3" s="235" t="s">
        <v>32</v>
      </c>
      <c r="S3" s="235" t="s">
        <v>30</v>
      </c>
      <c r="T3" s="236" t="s">
        <v>82</v>
      </c>
      <c r="U3" s="233" t="s">
        <v>31</v>
      </c>
      <c r="V3" s="234" t="s">
        <v>29</v>
      </c>
      <c r="W3" s="235" t="s">
        <v>52</v>
      </c>
      <c r="X3" s="235" t="s">
        <v>32</v>
      </c>
      <c r="Y3" s="235" t="s">
        <v>30</v>
      </c>
      <c r="Z3" s="236" t="s">
        <v>181</v>
      </c>
      <c r="AA3" s="233" t="s">
        <v>31</v>
      </c>
      <c r="AB3" s="234" t="s">
        <v>29</v>
      </c>
      <c r="AC3" s="235" t="s">
        <v>52</v>
      </c>
      <c r="AD3" s="235" t="s">
        <v>32</v>
      </c>
      <c r="AE3" s="235" t="s">
        <v>30</v>
      </c>
      <c r="AF3" s="237" t="s">
        <v>138</v>
      </c>
      <c r="AG3" s="466"/>
      <c r="AH3" s="458"/>
    </row>
    <row r="4" spans="1:39" ht="15" customHeight="1" thickBot="1">
      <c r="A4" s="281">
        <v>1</v>
      </c>
      <c r="B4" s="280" t="s">
        <v>128</v>
      </c>
      <c r="C4" s="155">
        <f>VLOOKUP(B4,'Профи-Опен'!$B$40:$Z$55,25,0)</f>
        <v>1</v>
      </c>
      <c r="D4" s="156">
        <f>VLOOKUP(C4,Очки!$A$2:$B$112,2,0)</f>
        <v>45</v>
      </c>
      <c r="E4" s="157">
        <f>VLOOKUP(B4,'Профи-Опен'!$B$4:$Q$37,9,0)++VLOOKUP(B4,'Профи-Опен'!$B$40:$Z$55,18,0)</f>
        <v>21</v>
      </c>
      <c r="F4" s="157">
        <f>VLOOKUP(B4,'Профи-Опен'!$B$4:$Q$37,15,0)++VLOOKUP(B4,'Профи-Опен'!$B$40:$Z$55,24,0)</f>
        <v>34</v>
      </c>
      <c r="G4" s="156">
        <f>ROUND(10*F4/(E4*2),1)</f>
        <v>8.1</v>
      </c>
      <c r="H4" s="409">
        <f>D4+G4</f>
        <v>53.1</v>
      </c>
      <c r="I4" s="158">
        <f>VLOOKUP(B4,Торпедо!$C$69:$W$76,21,0)</f>
        <v>4</v>
      </c>
      <c r="J4" s="156">
        <f>VLOOKUP(I4,Очки!$A$2:$B$112,2,0)</f>
        <v>34</v>
      </c>
      <c r="K4" s="171">
        <f>VLOOKUP(B4,Торпедо!$C$37:$Z$64,15,0)+VLOOKUP(B4,Торпедо!$C$69:$W$76,12,0)</f>
        <v>16</v>
      </c>
      <c r="L4" s="171">
        <f>VLOOKUP(B4,Торпедо!$C$37:$Z$64,23,0)+VLOOKUP(B4,Торпедо!$C$69:$W$76,20,0)</f>
        <v>20</v>
      </c>
      <c r="M4" s="180">
        <f aca="true" t="shared" si="0" ref="M4:M33">ROUND(10*L4/(K4*2),1)</f>
        <v>6.3</v>
      </c>
      <c r="N4" s="161">
        <f aca="true" t="shared" si="1" ref="N4:N33">J4+M4</f>
        <v>40.3</v>
      </c>
      <c r="O4" s="155" t="str">
        <f>VLOOKUP(B4,ФФП!$C$5:$M$44,11,0)</f>
        <v>13-15</v>
      </c>
      <c r="P4" s="156">
        <f>VLOOKUP(O4,Очки!$A$2:$B$112,2,0)</f>
        <v>19</v>
      </c>
      <c r="Q4" s="157">
        <f>VLOOKUP(B4,ФФП!$C$3:$L$44,3,0)</f>
        <v>12</v>
      </c>
      <c r="R4" s="157">
        <f>VLOOKUP(B4,ФФП!$C$3:$M$44,2,0)</f>
        <v>12</v>
      </c>
      <c r="S4" s="156">
        <f aca="true" t="shared" si="2" ref="S4:S34">ROUND(10*R4/(Q4*2),1)</f>
        <v>5</v>
      </c>
      <c r="T4" s="409">
        <f aca="true" t="shared" si="3" ref="T4:T34">P4+S4</f>
        <v>24</v>
      </c>
      <c r="U4" s="155">
        <f>VLOOKUP(B4,Спартакиада!$B$55:$V$65,21,0)</f>
        <v>4</v>
      </c>
      <c r="V4" s="156">
        <f>VLOOKUP(U4,Очки!$A$2:$B$112,2,0)</f>
        <v>34</v>
      </c>
      <c r="W4" s="157">
        <f>VLOOKUP(B4,Спартакиада!$B$4:$T$51,10,0)+VLOOKUP(B4,Спартакиада!$B$55:$V$65,12,0)</f>
        <v>16</v>
      </c>
      <c r="X4" s="157">
        <f>VLOOKUP(B4,Спартакиада!$B$4:$T$51,18,0)+VLOOKUP(B4,Спартакиада!$B$55:$V$65,20,0)</f>
        <v>20</v>
      </c>
      <c r="Y4" s="156">
        <f aca="true" t="shared" si="4" ref="Y4:Y37">ROUND(10*X4/(W4*2),1)</f>
        <v>6.3</v>
      </c>
      <c r="Z4" s="409">
        <f aca="true" t="shared" si="5" ref="Z4:Z37">V4+Y4</f>
        <v>40.3</v>
      </c>
      <c r="AA4" s="158">
        <f>VLOOKUP(B4,Форвард!$C$70:$S$75,17,FALSE)</f>
        <v>5</v>
      </c>
      <c r="AB4" s="159">
        <f>VLOOKUP(AA4,Очки!$A$2:$B$111,2,0)</f>
        <v>32</v>
      </c>
      <c r="AC4" s="160">
        <f>VLOOKUP(B4,Форвард!$C$4:$S$42,8,FALSE)+VLOOKUP(B4,Форвард!$C$44:$S$66,8,FALSE)+VLOOKUP(B4,Форвард!$C$70:$S$75,8,FALSE)</f>
        <v>15</v>
      </c>
      <c r="AD4" s="160">
        <f>VLOOKUP(B4,Форвард!$C$4:$S$42,16,FALSE)+VLOOKUP(B4,Форвард!$C$44:$S$66,16,FALSE)+VLOOKUP(B4,Форвард!$C$70:$S$75,16,FALSE)</f>
        <v>14</v>
      </c>
      <c r="AE4" s="156">
        <f aca="true" t="shared" si="6" ref="AE4:AE13">ROUND(10*AD4/(AC4*2),1)</f>
        <v>4.7</v>
      </c>
      <c r="AF4" s="161">
        <f aca="true" t="shared" si="7" ref="AF4:AF13">AB4+AE4</f>
        <v>36.7</v>
      </c>
      <c r="AG4" s="419">
        <f>H4+T4+N4+Z4+AF4-MIN(H4,N4,T4,Z4,AF4)</f>
        <v>170.39999999999998</v>
      </c>
      <c r="AH4" s="229"/>
      <c r="AI4" s="5"/>
      <c r="AJ4" s="5"/>
      <c r="AK4" s="5"/>
      <c r="AL4" s="5"/>
      <c r="AM4" s="5"/>
    </row>
    <row r="5" spans="1:39" ht="13.5" thickBot="1">
      <c r="A5" s="282">
        <v>2</v>
      </c>
      <c r="B5" s="153" t="s">
        <v>63</v>
      </c>
      <c r="C5" s="155" t="str">
        <f>VLOOKUP(B5,'Профи-Опен'!$B$4:$Q$37,16,0)</f>
        <v>21-24</v>
      </c>
      <c r="D5" s="156">
        <f>VLOOKUP(C5,Очки!$A$2:$B$112,2,0)</f>
        <v>10.5</v>
      </c>
      <c r="E5" s="157">
        <f>VLOOKUP(B5,'Профи-Опен'!$B$4:$Q$37,9,0)</f>
        <v>6</v>
      </c>
      <c r="F5" s="157">
        <f>VLOOKUP(B5,'Профи-Опен'!$B$4:$Q$37,15,0)</f>
        <v>4</v>
      </c>
      <c r="G5" s="156">
        <f>ROUND(10*F5/(E5*2),1)</f>
        <v>3.3</v>
      </c>
      <c r="H5" s="409">
        <f>D5+G5</f>
        <v>13.8</v>
      </c>
      <c r="I5" s="158">
        <f>VLOOKUP(B5,Торпедо!$C$69:$W$76,21,0)</f>
        <v>1</v>
      </c>
      <c r="J5" s="156">
        <f>VLOOKUP(I5,Очки!$A$2:$B$112,2,0)</f>
        <v>45</v>
      </c>
      <c r="K5" s="171">
        <f>VLOOKUP(B5,Торпедо!$C$37:$Z$64,15,0)+VLOOKUP(B5,Торпедо!$C$69:$W$76,12,0)</f>
        <v>16</v>
      </c>
      <c r="L5" s="171">
        <f>VLOOKUP(B5,Торпедо!$C$37:$Z$64,23,0)+VLOOKUP(B5,Торпедо!$C$69:$W$76,20,0)</f>
        <v>26</v>
      </c>
      <c r="M5" s="180">
        <f t="shared" si="0"/>
        <v>8.1</v>
      </c>
      <c r="N5" s="161">
        <f t="shared" si="1"/>
        <v>53.1</v>
      </c>
      <c r="O5" s="155">
        <f>VLOOKUP(B5,ФФП!$C$52:$N$63,12,0)</f>
        <v>6</v>
      </c>
      <c r="P5" s="156">
        <f>VLOOKUP(O5,Очки!$A$2:$B$112,2,0)</f>
        <v>30</v>
      </c>
      <c r="Q5" s="157">
        <f>VLOOKUP(B5,ФФП!$C$3:$L$44,3,0)+VLOOKUP(B5,ФФП!$C$52:$N$63,10,0)</f>
        <v>19</v>
      </c>
      <c r="R5" s="157">
        <f>VLOOKUP(B5,ФФП!$C$3:$M$44,2,0)+VLOOKUP(B5,ФФП!$C$52:$N$63,11,0)</f>
        <v>25</v>
      </c>
      <c r="S5" s="156">
        <f t="shared" si="2"/>
        <v>6.6</v>
      </c>
      <c r="T5" s="409">
        <f t="shared" si="3"/>
        <v>36.6</v>
      </c>
      <c r="U5" s="155">
        <f>VLOOKUP(B5,Спартакиада!$B$55:$V$65,21,0)</f>
        <v>1</v>
      </c>
      <c r="V5" s="156">
        <f>VLOOKUP(U5,Очки!$A$2:$B$112,2,0)</f>
        <v>45</v>
      </c>
      <c r="W5" s="157">
        <f>VLOOKUP(B5,Спартакиада!$B$4:$T$51,10,0)+VLOOKUP(B5,Спартакиада!$B$55:$V$65,12,0)</f>
        <v>16</v>
      </c>
      <c r="X5" s="157">
        <f>VLOOKUP(B5,Спартакиада!$B$4:$T$51,18,0)+VLOOKUP(B5,Спартакиада!$B$55:$V$65,20,0)</f>
        <v>25</v>
      </c>
      <c r="Y5" s="156">
        <f t="shared" si="4"/>
        <v>7.8</v>
      </c>
      <c r="Z5" s="409">
        <f t="shared" si="5"/>
        <v>52.8</v>
      </c>
      <c r="AA5" s="158" t="str">
        <f>VLOOKUP(B5,Форвард!$C$4:$S$42,17,FALSE)</f>
        <v>19-20</v>
      </c>
      <c r="AB5" s="159">
        <f>VLOOKUP(AA5,Очки!$A$2:$B$111,2,0)</f>
        <v>13.5</v>
      </c>
      <c r="AC5" s="160">
        <f>VLOOKUP(B5,Форвард!$C$4:$S$42,8,FALSE)</f>
        <v>5</v>
      </c>
      <c r="AD5" s="160">
        <f>VLOOKUP(B5,Форвард!$C$4:$S$42,16,FALSE)</f>
        <v>4</v>
      </c>
      <c r="AE5" s="156">
        <f t="shared" si="6"/>
        <v>4</v>
      </c>
      <c r="AF5" s="161">
        <f t="shared" si="7"/>
        <v>17.5</v>
      </c>
      <c r="AG5" s="419">
        <f>H5+T5+N5+Z5+AF5-MIN(H5,N5,T5,Z5,AF5)</f>
        <v>160</v>
      </c>
      <c r="AH5" s="229"/>
      <c r="AI5" s="5"/>
      <c r="AJ5" s="5"/>
      <c r="AL5" s="5"/>
      <c r="AM5" s="5"/>
    </row>
    <row r="6" spans="1:39" ht="13.5" thickBot="1">
      <c r="A6" s="283">
        <v>3</v>
      </c>
      <c r="B6" s="410" t="s">
        <v>7</v>
      </c>
      <c r="C6" s="155"/>
      <c r="D6" s="156"/>
      <c r="E6" s="157"/>
      <c r="F6" s="157"/>
      <c r="G6" s="156"/>
      <c r="H6" s="409"/>
      <c r="I6" s="158">
        <f>VLOOKUP(B6,Торпедо!$C$69:$W$76,21,0)</f>
        <v>2</v>
      </c>
      <c r="J6" s="156">
        <f>VLOOKUP(I6,Очки!$A$2:$B$112,2,0)</f>
        <v>40</v>
      </c>
      <c r="K6" s="171">
        <f>VLOOKUP(B6,Торпедо!$C$37:$Z$64,15,0)+VLOOKUP(B6,Торпедо!$C$69:$W$76,12,0)</f>
        <v>16</v>
      </c>
      <c r="L6" s="171">
        <f>VLOOKUP(B6,Торпедо!$C$37:$Z$64,23,0)+VLOOKUP(B6,Торпедо!$C$69:$W$76,20,0)</f>
        <v>18</v>
      </c>
      <c r="M6" s="180">
        <f t="shared" si="0"/>
        <v>5.6</v>
      </c>
      <c r="N6" s="161">
        <f t="shared" si="1"/>
        <v>45.6</v>
      </c>
      <c r="O6" s="155" t="str">
        <f>VLOOKUP(B6,ФФП!$C$5:$M$44,11,0)</f>
        <v>25-27</v>
      </c>
      <c r="P6" s="156">
        <f>VLOOKUP(O6,Очки!$A$2:$B$112,2,0)</f>
        <v>7</v>
      </c>
      <c r="Q6" s="157">
        <f>VLOOKUP(B6,ФФП!$C$3:$L$44,3,0)</f>
        <v>11</v>
      </c>
      <c r="R6" s="157">
        <f>VLOOKUP(B6,ФФП!$C$3:$M$44,2,0)</f>
        <v>9</v>
      </c>
      <c r="S6" s="156">
        <f t="shared" si="2"/>
        <v>4.1</v>
      </c>
      <c r="T6" s="409">
        <f t="shared" si="3"/>
        <v>11.1</v>
      </c>
      <c r="U6" s="155">
        <f>VLOOKUP(B6,Спартакиада!$B$55:$V$65,21,0)</f>
        <v>3</v>
      </c>
      <c r="V6" s="156">
        <f>VLOOKUP(U6,Очки!$A$2:$B$112,2,0)</f>
        <v>37</v>
      </c>
      <c r="W6" s="157">
        <f>VLOOKUP(B6,Спартакиада!$B$4:$T$51,10,0)+VLOOKUP(B6,Спартакиада!$B$55:$V$65,12,0)</f>
        <v>16</v>
      </c>
      <c r="X6" s="157">
        <f>VLOOKUP(B6,Спартакиада!$B$4:$T$51,18,0)+VLOOKUP(B6,Спартакиада!$B$55:$V$65,20,0)</f>
        <v>20</v>
      </c>
      <c r="Y6" s="156">
        <f t="shared" si="4"/>
        <v>6.3</v>
      </c>
      <c r="Z6" s="409">
        <f t="shared" si="5"/>
        <v>43.3</v>
      </c>
      <c r="AA6" s="158">
        <f>VLOOKUP(B6,Форвард!$C$70:$S$75,17,FALSE)</f>
        <v>2</v>
      </c>
      <c r="AB6" s="159">
        <f>VLOOKUP(AA6,Очки!$A$2:$B$111,2,0)</f>
        <v>40</v>
      </c>
      <c r="AC6" s="160">
        <f>VLOOKUP(B6,Форвард!$C$4:$S$42,8,FALSE)+VLOOKUP(B6,Форвард!$C$44:$S$66,8,FALSE)+VLOOKUP(B6,Форвард!$C$70:$S$75,8,FALSE)</f>
        <v>15</v>
      </c>
      <c r="AD6" s="160">
        <f>VLOOKUP(B6,Форвард!$C$4:$S$42,16,FALSE)+VLOOKUP(B6,Форвард!$C$44:$S$66,16,FALSE)+VLOOKUP(B6,Форвард!$C$70:$S$75,16,FALSE)</f>
        <v>21</v>
      </c>
      <c r="AE6" s="156">
        <f t="shared" si="6"/>
        <v>7</v>
      </c>
      <c r="AF6" s="161">
        <f t="shared" si="7"/>
        <v>47</v>
      </c>
      <c r="AG6" s="419">
        <f>H6+T6+N6+Z6+AF6</f>
        <v>147</v>
      </c>
      <c r="AH6" s="229"/>
      <c r="AI6" s="5"/>
      <c r="AJ6" s="5"/>
      <c r="AL6" s="5"/>
      <c r="AM6" s="5"/>
    </row>
    <row r="7" spans="1:39" ht="13.5" thickBot="1">
      <c r="A7" s="6">
        <v>4</v>
      </c>
      <c r="B7" s="457" t="s">
        <v>22</v>
      </c>
      <c r="C7" s="155" t="str">
        <f>VLOOKUP(B7,'Профи-Опен'!$B$4:$Q$37,16,0)</f>
        <v>21-24</v>
      </c>
      <c r="D7" s="156">
        <f>VLOOKUP(C7,Очки!$A$2:$B$112,2,0)</f>
        <v>10.5</v>
      </c>
      <c r="E7" s="157">
        <f>VLOOKUP(B7,'Профи-Опен'!$B$4:$Q$37,9,0)</f>
        <v>6</v>
      </c>
      <c r="F7" s="157">
        <f>VLOOKUP(B7,'Профи-Опен'!$B$4:$Q$37,15,0)</f>
        <v>4</v>
      </c>
      <c r="G7" s="156">
        <f aca="true" t="shared" si="8" ref="G7:G24">ROUND(10*F7/(E7*2),1)</f>
        <v>3.3</v>
      </c>
      <c r="H7" s="409">
        <f aca="true" t="shared" si="9" ref="H7:H24">D7+G7</f>
        <v>13.8</v>
      </c>
      <c r="I7" s="158" t="str">
        <f>VLOOKUP(B7,Торпедо!$C$37:$Z$64,24,0)</f>
        <v>17-18</v>
      </c>
      <c r="J7" s="156">
        <f>VLOOKUP(I7,Очки!$A$2:$B$112,2,0)</f>
        <v>16.5</v>
      </c>
      <c r="K7" s="171">
        <f>VLOOKUP(B7,Торпедо!$C$37:$Z$64,15,0)</f>
        <v>12</v>
      </c>
      <c r="L7" s="171">
        <f>VLOOKUP(B7,Торпедо!$C$37:$Z$64,23,0)</f>
        <v>10</v>
      </c>
      <c r="M7" s="180">
        <f t="shared" si="0"/>
        <v>4.2</v>
      </c>
      <c r="N7" s="161">
        <f t="shared" si="1"/>
        <v>20.7</v>
      </c>
      <c r="O7" s="155" t="str">
        <f>VLOOKUP(B7,ФФП!$C$5:$M$44,11,0)</f>
        <v>19-21</v>
      </c>
      <c r="P7" s="156">
        <f>VLOOKUP(O7,Очки!$A$2:$B$112,2,0)</f>
        <v>13</v>
      </c>
      <c r="Q7" s="157">
        <f>VLOOKUP(B7,ФФП!$C$3:$L$44,3,0)</f>
        <v>11</v>
      </c>
      <c r="R7" s="157">
        <f>VLOOKUP(B7,ФФП!$C$3:$M$44,2,0)</f>
        <v>10</v>
      </c>
      <c r="S7" s="156">
        <f t="shared" si="2"/>
        <v>4.5</v>
      </c>
      <c r="T7" s="409">
        <f t="shared" si="3"/>
        <v>17.5</v>
      </c>
      <c r="U7" s="155">
        <f>VLOOKUP(B7,Спартакиада!$B$55:$V$65,21,0)</f>
        <v>5</v>
      </c>
      <c r="V7" s="156">
        <f>VLOOKUP(U7,Очки!$A$2:$B$112,2,0)</f>
        <v>32</v>
      </c>
      <c r="W7" s="157">
        <f>VLOOKUP(B7,Спартакиада!$B$4:$T$51,10,0)+VLOOKUP(B7,Спартакиада!$B$55:$V$65,12,0)</f>
        <v>16</v>
      </c>
      <c r="X7" s="157">
        <f>VLOOKUP(B7,Спартакиада!$B$4:$T$51,18,0)+VLOOKUP(B7,Спартакиада!$B$55:$V$65,20,0)</f>
        <v>19</v>
      </c>
      <c r="Y7" s="156">
        <f t="shared" si="4"/>
        <v>5.9</v>
      </c>
      <c r="Z7" s="409">
        <f t="shared" si="5"/>
        <v>37.9</v>
      </c>
      <c r="AA7" s="158">
        <f>VLOOKUP(B7,Форвард!$C$70:$S$75,17,FALSE)</f>
        <v>1</v>
      </c>
      <c r="AB7" s="159">
        <f>VLOOKUP(AA7,Очки!$A$2:$B$111,2,0)</f>
        <v>45</v>
      </c>
      <c r="AC7" s="160">
        <f>VLOOKUP(B7,Форвард!$C$4:$S$42,8,FALSE)+VLOOKUP(B7,Форвард!$C$44:$S$66,8,FALSE)+VLOOKUP(B7,Форвард!$C$70:$S$75,8,FALSE)</f>
        <v>15</v>
      </c>
      <c r="AD7" s="160">
        <f>VLOOKUP(B7,Форвард!$C$4:$S$42,16,FALSE)+VLOOKUP(B7,Форвард!$C$44:$S$66,16,FALSE)+VLOOKUP(B7,Форвард!$C$70:$S$75,16,FALSE)</f>
        <v>26</v>
      </c>
      <c r="AE7" s="156">
        <f t="shared" si="6"/>
        <v>8.7</v>
      </c>
      <c r="AF7" s="161">
        <f t="shared" si="7"/>
        <v>53.7</v>
      </c>
      <c r="AG7" s="419">
        <f aca="true" t="shared" si="10" ref="AG7:AG13">H7+T7+N7+Z7+AF7-MIN(H7,N7,T7,Z7,AF7)</f>
        <v>129.8</v>
      </c>
      <c r="AH7" s="352"/>
      <c r="AI7" s="5"/>
      <c r="AJ7" s="5"/>
      <c r="AL7" s="5"/>
      <c r="AM7" s="5"/>
    </row>
    <row r="8" spans="1:39" ht="13.5" thickBot="1">
      <c r="A8" s="7">
        <v>5</v>
      </c>
      <c r="B8" s="154" t="s">
        <v>125</v>
      </c>
      <c r="C8" s="155">
        <f>VLOOKUP(B8,'Профи-Опен'!$B$40:$Z$55,25,0)</f>
        <v>7</v>
      </c>
      <c r="D8" s="156">
        <f>VLOOKUP(C8,Очки!$A$2:$B$112,2,0)</f>
        <v>28</v>
      </c>
      <c r="E8" s="157">
        <f>VLOOKUP(B8,'Профи-Опен'!$B$4:$Q$37,9,0)++VLOOKUP(B8,'Профи-Опен'!$B$40:$Z$55,18,0)</f>
        <v>21</v>
      </c>
      <c r="F8" s="157">
        <f>VLOOKUP(B8,'Профи-Опен'!$B$4:$Q$37,15,0)++VLOOKUP(B8,'Профи-Опен'!$B$40:$Z$55,24,0)</f>
        <v>24</v>
      </c>
      <c r="G8" s="156">
        <f t="shared" si="8"/>
        <v>5.7</v>
      </c>
      <c r="H8" s="409">
        <f t="shared" si="9"/>
        <v>33.7</v>
      </c>
      <c r="I8" s="158" t="str">
        <f>VLOOKUP(B8,Торпедо!$C$37:$Z$64,24,0)</f>
        <v>11-12</v>
      </c>
      <c r="J8" s="156">
        <f>VLOOKUP(I8,Очки!$A$2:$B$112,2,0)</f>
        <v>21.5</v>
      </c>
      <c r="K8" s="171">
        <f>VLOOKUP(B8,Торпедо!$C$37:$Z$64,15,0)</f>
        <v>12</v>
      </c>
      <c r="L8" s="171">
        <f>VLOOKUP(B8,Торпедо!$C$37:$Z$64,23,0)</f>
        <v>13</v>
      </c>
      <c r="M8" s="180">
        <f t="shared" si="0"/>
        <v>5.4</v>
      </c>
      <c r="N8" s="161">
        <f t="shared" si="1"/>
        <v>26.9</v>
      </c>
      <c r="O8" s="155">
        <f>VLOOKUP(B8,ФФП!$C$52:$N$63,12,0)</f>
        <v>5</v>
      </c>
      <c r="P8" s="156">
        <f>VLOOKUP(O8,Очки!$A$2:$B$112,2,0)</f>
        <v>32</v>
      </c>
      <c r="Q8" s="157">
        <f>VLOOKUP(B8,ФФП!$C$3:$L$44,3,0)+VLOOKUP(B8,ФФП!$C$52:$N$63,10,0)</f>
        <v>19</v>
      </c>
      <c r="R8" s="157">
        <f>VLOOKUP(B8,ФФП!$C$3:$M$44,2,0)+VLOOKUP(B8,ФФП!$C$52:$N$63,11,0)</f>
        <v>22</v>
      </c>
      <c r="S8" s="156">
        <f t="shared" si="2"/>
        <v>5.8</v>
      </c>
      <c r="T8" s="409">
        <f t="shared" si="3"/>
        <v>37.8</v>
      </c>
      <c r="U8" s="155" t="str">
        <f>VLOOKUP(B8,Спартакиада!$B$4:$T$51,19,0)</f>
        <v>11-15</v>
      </c>
      <c r="V8" s="156">
        <f>VLOOKUP(U8,Очки!$A$2:$B$112,2,0)</f>
        <v>20</v>
      </c>
      <c r="W8" s="157">
        <f>VLOOKUP(B8,Спартакиада!$B$4:$T$51,10,0)</f>
        <v>7</v>
      </c>
      <c r="X8" s="157">
        <f>VLOOKUP(B8,Спартакиада!$B$4:$T$51,18,0)</f>
        <v>8</v>
      </c>
      <c r="Y8" s="156">
        <f t="shared" si="4"/>
        <v>5.7</v>
      </c>
      <c r="Z8" s="409">
        <f t="shared" si="5"/>
        <v>25.7</v>
      </c>
      <c r="AA8" s="158" t="str">
        <f>VLOOKUP(B8,Форвард!$C$44:$S$66,17,FALSE)</f>
        <v>7-9</v>
      </c>
      <c r="AB8" s="159">
        <f>VLOOKUP(AA8,Очки!$A$2:$B$111,2,0)</f>
        <v>26</v>
      </c>
      <c r="AC8" s="160">
        <f>VLOOKUP(B8,Форвард!$C$4:$S$42,8,FALSE)+VLOOKUP(B8,Форвард!$C$44:$S$66,8,FALSE)</f>
        <v>10</v>
      </c>
      <c r="AD8" s="160">
        <f>VLOOKUP(B8,Форвард!$C$4:$S$42,16,FALSE)+VLOOKUP(B8,Форвард!$C$44:$S$66,16,FALSE)</f>
        <v>10</v>
      </c>
      <c r="AE8" s="156">
        <f t="shared" si="6"/>
        <v>5</v>
      </c>
      <c r="AF8" s="161">
        <f t="shared" si="7"/>
        <v>31</v>
      </c>
      <c r="AG8" s="419">
        <f t="shared" si="10"/>
        <v>129.40000000000003</v>
      </c>
      <c r="AH8" s="352"/>
      <c r="AI8" s="5"/>
      <c r="AJ8" s="5"/>
      <c r="AK8" s="5"/>
      <c r="AL8" s="5"/>
      <c r="AM8" s="5"/>
    </row>
    <row r="9" spans="1:39" ht="13.5" thickBot="1">
      <c r="A9" s="6">
        <v>6</v>
      </c>
      <c r="B9" s="154" t="s">
        <v>132</v>
      </c>
      <c r="C9" s="155">
        <f>VLOOKUP(B9,'Профи-Опен'!$B$40:$Z$55,25,0)</f>
        <v>5</v>
      </c>
      <c r="D9" s="156">
        <f>VLOOKUP(C9,Очки!$A$2:$B$112,2,0)</f>
        <v>32</v>
      </c>
      <c r="E9" s="157">
        <f>VLOOKUP(B9,'Профи-Опен'!$B$4:$Q$37,9,0)++VLOOKUP(B9,'Профи-Опен'!$B$40:$Z$55,18,0)</f>
        <v>21</v>
      </c>
      <c r="F9" s="157">
        <f>VLOOKUP(B9,'Профи-Опен'!$B$4:$Q$37,15,0)++VLOOKUP(B9,'Профи-Опен'!$B$40:$Z$55,24,0)</f>
        <v>23</v>
      </c>
      <c r="G9" s="156">
        <f t="shared" si="8"/>
        <v>5.5</v>
      </c>
      <c r="H9" s="409">
        <f t="shared" si="9"/>
        <v>37.5</v>
      </c>
      <c r="I9" s="158">
        <f>VLOOKUP(B9,Торпедо!$C$5:$U$32,19,0)</f>
        <v>26</v>
      </c>
      <c r="J9" s="156">
        <f>VLOOKUP(I9,Очки!$A$2:$B$112,2,0)</f>
        <v>7</v>
      </c>
      <c r="K9" s="171">
        <f>VLOOKUP(B9,Торпедо!$C$5:$U$32,10,0)+VLOOKUP(B9,Торпедо!$C$37:$Z$64,15,0)</f>
        <v>19</v>
      </c>
      <c r="L9" s="171">
        <f>VLOOKUP(B9,Торпедо!$C$5:$U$32,18,0)+VLOOKUP(B9,Торпедо!$C$37:$Z$64,23,0)</f>
        <v>19</v>
      </c>
      <c r="M9" s="180">
        <f t="shared" si="0"/>
        <v>5</v>
      </c>
      <c r="N9" s="161">
        <f t="shared" si="1"/>
        <v>12</v>
      </c>
      <c r="O9" s="155" t="str">
        <f>VLOOKUP(B9,ФФП!$C$5:$M$44,11,0)</f>
        <v>16-18</v>
      </c>
      <c r="P9" s="156">
        <f>VLOOKUP(O9,Очки!$A$2:$B$112,2,0)</f>
        <v>16</v>
      </c>
      <c r="Q9" s="157">
        <f>VLOOKUP(B9,ФФП!$C$3:$L$44,3,0)</f>
        <v>11</v>
      </c>
      <c r="R9" s="157">
        <f>VLOOKUP(B9,ФФП!$C$3:$M$44,2,0)</f>
        <v>12</v>
      </c>
      <c r="S9" s="156">
        <f t="shared" si="2"/>
        <v>5.5</v>
      </c>
      <c r="T9" s="409">
        <f t="shared" si="3"/>
        <v>21.5</v>
      </c>
      <c r="U9" s="155" t="str">
        <f>VLOOKUP(B9,Спартакиада!$B$4:$T$51,19,0)</f>
        <v>11-15</v>
      </c>
      <c r="V9" s="156">
        <f>VLOOKUP(U9,Очки!$A$2:$B$112,2,0)</f>
        <v>20</v>
      </c>
      <c r="W9" s="157">
        <f>VLOOKUP(B9,Спартакиада!$B$4:$T$51,10,0)</f>
        <v>7</v>
      </c>
      <c r="X9" s="157">
        <f>VLOOKUP(B9,Спартакиада!$B$4:$T$51,18,0)</f>
        <v>8</v>
      </c>
      <c r="Y9" s="156">
        <f t="shared" si="4"/>
        <v>5.7</v>
      </c>
      <c r="Z9" s="409">
        <f t="shared" si="5"/>
        <v>25.7</v>
      </c>
      <c r="AA9" s="158">
        <f>VLOOKUP(B9,Форвард!$C$70:$S$75,17,FALSE)</f>
        <v>3</v>
      </c>
      <c r="AB9" s="159">
        <f>VLOOKUP(AA9,Очки!$A$2:$B$111,2,0)</f>
        <v>37</v>
      </c>
      <c r="AC9" s="160">
        <f>VLOOKUP(B9,Форвард!$C$4:$S$42,8,FALSE)+VLOOKUP(B9,Форвард!$C$44:$S$66,8,FALSE)+VLOOKUP(B9,Форвард!$C$70:$S$75,8,FALSE)</f>
        <v>15</v>
      </c>
      <c r="AD9" s="160">
        <f>VLOOKUP(B9,Форвард!$C$4:$S$42,16,FALSE)+VLOOKUP(B9,Форвард!$C$44:$S$66,16,FALSE)+VLOOKUP(B9,Форвард!$C$70:$S$75,16,FALSE)</f>
        <v>20</v>
      </c>
      <c r="AE9" s="156">
        <f t="shared" si="6"/>
        <v>6.7</v>
      </c>
      <c r="AF9" s="161">
        <f t="shared" si="7"/>
        <v>43.7</v>
      </c>
      <c r="AG9" s="419">
        <f t="shared" si="10"/>
        <v>128.4</v>
      </c>
      <c r="AH9" s="229"/>
      <c r="AI9" s="5"/>
      <c r="AJ9" s="5"/>
      <c r="AL9" s="5"/>
      <c r="AM9" s="5"/>
    </row>
    <row r="10" spans="1:39" ht="13.5" thickBot="1">
      <c r="A10" s="7">
        <v>7</v>
      </c>
      <c r="B10" s="153" t="s">
        <v>201</v>
      </c>
      <c r="C10" s="155">
        <f>VLOOKUP(B10,'Профи-Опен'!$B$40:$Z$55,25,0)</f>
        <v>3</v>
      </c>
      <c r="D10" s="156">
        <f>VLOOKUP(C10,Очки!$A$2:$B$112,2,0)</f>
        <v>37</v>
      </c>
      <c r="E10" s="157">
        <f>VLOOKUP(B10,'Профи-Опен'!$B$4:$Q$37,9,0)++VLOOKUP(B10,'Профи-Опен'!$B$40:$Z$55,18,0)</f>
        <v>21</v>
      </c>
      <c r="F10" s="157">
        <f>VLOOKUP(B10,'Профи-Опен'!$B$4:$Q$37,15,0)++VLOOKUP(B10,'Профи-Опен'!$B$40:$Z$55,24,0)</f>
        <v>33</v>
      </c>
      <c r="G10" s="156">
        <f t="shared" si="8"/>
        <v>7.9</v>
      </c>
      <c r="H10" s="409">
        <f t="shared" si="9"/>
        <v>44.9</v>
      </c>
      <c r="I10" s="158" t="str">
        <f>VLOOKUP(B10,Торпедо!$C$5:$U$32,19,0)</f>
        <v>27-29</v>
      </c>
      <c r="J10" s="156">
        <f>VLOOKUP(I10,Очки!$A$2:$B$112,2,0)</f>
        <v>5</v>
      </c>
      <c r="K10" s="171">
        <f>VLOOKUP(B10,Торпедо!$C$5:$U$32,10,0)</f>
        <v>6</v>
      </c>
      <c r="L10" s="171">
        <f>VLOOKUP(B10,Торпедо!$C$5:$U$32,18,0)</f>
        <v>3</v>
      </c>
      <c r="M10" s="180">
        <f t="shared" si="0"/>
        <v>2.5</v>
      </c>
      <c r="N10" s="161">
        <f t="shared" si="1"/>
        <v>7.5</v>
      </c>
      <c r="O10" s="155">
        <f>VLOOKUP(B10,ФФП!$C$52:$N$63,12,0)</f>
        <v>11</v>
      </c>
      <c r="P10" s="156">
        <f>VLOOKUP(O10,Очки!$A$2:$B$112,2,0)</f>
        <v>22</v>
      </c>
      <c r="Q10" s="157">
        <f>VLOOKUP(B10,ФФП!$C$3:$L$44,3,0)+VLOOKUP(B10,ФФП!$C$52:$N$63,10,0)</f>
        <v>20</v>
      </c>
      <c r="R10" s="157">
        <f>VLOOKUP(B10,ФФП!$C$3:$M$44,2,0)+VLOOKUP(B10,ФФП!$C$52:$N$63,11,0)</f>
        <v>21</v>
      </c>
      <c r="S10" s="156">
        <f t="shared" si="2"/>
        <v>5.3</v>
      </c>
      <c r="T10" s="409">
        <f t="shared" si="3"/>
        <v>27.3</v>
      </c>
      <c r="U10" s="155">
        <f>VLOOKUP(B10,Спартакиада!$B$55:$V$65,21,0)</f>
        <v>8</v>
      </c>
      <c r="V10" s="156">
        <f>VLOOKUP(U10,Очки!$A$2:$B$112,2,0)</f>
        <v>26</v>
      </c>
      <c r="W10" s="157">
        <f>VLOOKUP(B10,Спартакиада!$B$4:$T$51,10,0)+VLOOKUP(B10,Спартакиада!$B$55:$V$65,12,0)</f>
        <v>16</v>
      </c>
      <c r="X10" s="157">
        <f>VLOOKUP(B10,Спартакиада!$B$4:$T$51,18,0)+VLOOKUP(B10,Спартакиада!$B$55:$V$65,20,0)</f>
        <v>15</v>
      </c>
      <c r="Y10" s="156">
        <f t="shared" si="4"/>
        <v>4.7</v>
      </c>
      <c r="Z10" s="409">
        <f t="shared" si="5"/>
        <v>30.7</v>
      </c>
      <c r="AA10" s="158" t="str">
        <f>VLOOKUP(B10,Форвард!$C$44:$S$66,17,FALSE)</f>
        <v>16-18</v>
      </c>
      <c r="AB10" s="159">
        <f>VLOOKUP(AA10,Очки!$A$2:$B$111,2,0)</f>
        <v>16</v>
      </c>
      <c r="AC10" s="160">
        <f>VLOOKUP(B10,Форвард!$C$4:$S$42,8,FALSE)+VLOOKUP(B10,Форвард!$C$44:$S$66,8,FALSE)</f>
        <v>10</v>
      </c>
      <c r="AD10" s="160">
        <f>VLOOKUP(B10,Форвард!$C$4:$S$42,16,FALSE)+VLOOKUP(B10,Форвард!$C$44:$S$66,16,FALSE)</f>
        <v>10</v>
      </c>
      <c r="AE10" s="156">
        <f t="shared" si="6"/>
        <v>5</v>
      </c>
      <c r="AF10" s="161">
        <f t="shared" si="7"/>
        <v>21</v>
      </c>
      <c r="AG10" s="419">
        <f t="shared" si="10"/>
        <v>123.9</v>
      </c>
      <c r="AH10" s="229"/>
      <c r="AI10" s="5"/>
      <c r="AJ10" s="5"/>
      <c r="AL10" s="5"/>
      <c r="AM10" s="5"/>
    </row>
    <row r="11" spans="1:39" ht="15.75" thickBot="1">
      <c r="A11" s="6">
        <v>8</v>
      </c>
      <c r="B11" s="420" t="s">
        <v>174</v>
      </c>
      <c r="C11" s="155">
        <f>VLOOKUP(B11,'Профи-Опен'!$B$40:$Z$55,25,0)</f>
        <v>4</v>
      </c>
      <c r="D11" s="156">
        <f>VLOOKUP(C11,Очки!$A$2:$B$112,2,0)</f>
        <v>34</v>
      </c>
      <c r="E11" s="157">
        <f>VLOOKUP(B11,'Профи-Опен'!$B$4:$Q$37,9,0)++VLOOKUP(B11,'Профи-Опен'!$B$40:$Z$55,18,0)</f>
        <v>21</v>
      </c>
      <c r="F11" s="157">
        <f>VLOOKUP(B11,'Профи-Опен'!$B$4:$Q$37,15,0)++VLOOKUP(B11,'Профи-Опен'!$B$40:$Z$55,24,0)</f>
        <v>24</v>
      </c>
      <c r="G11" s="156">
        <f t="shared" si="8"/>
        <v>5.7</v>
      </c>
      <c r="H11" s="409">
        <f t="shared" si="9"/>
        <v>39.7</v>
      </c>
      <c r="I11" s="158">
        <f>VLOOKUP(B11,Торпедо!$C$69:$W$76,21,0)</f>
        <v>5</v>
      </c>
      <c r="J11" s="156">
        <f>VLOOKUP(I11,Очки!$A$2:$B$112,2,0)</f>
        <v>32</v>
      </c>
      <c r="K11" s="171">
        <f>VLOOKUP(B11,Торпедо!$C$37:$Z$64,15,0)+VLOOKUP(B11,Торпедо!$C$69:$W$76,12,0)</f>
        <v>16</v>
      </c>
      <c r="L11" s="171">
        <f>VLOOKUP(B11,Торпедо!$C$37:$Z$64,23,0)+VLOOKUP(B11,Торпедо!$C$69:$W$76,20,0)</f>
        <v>19</v>
      </c>
      <c r="M11" s="180">
        <f t="shared" si="0"/>
        <v>5.9</v>
      </c>
      <c r="N11" s="161">
        <f t="shared" si="1"/>
        <v>37.9</v>
      </c>
      <c r="O11" s="155" t="str">
        <f>VLOOKUP(B11,ФФП!$C$5:$M$44,11,0)</f>
        <v>22-24</v>
      </c>
      <c r="P11" s="156">
        <f>VLOOKUP(O11,Очки!$A$2:$B$112,2,0)</f>
        <v>10</v>
      </c>
      <c r="Q11" s="157">
        <f>VLOOKUP(B11,ФФП!$C$3:$L$44,3,0)</f>
        <v>11</v>
      </c>
      <c r="R11" s="157">
        <f>VLOOKUP(B11,ФФП!$C$3:$M$44,2,0)</f>
        <v>9</v>
      </c>
      <c r="S11" s="156">
        <f t="shared" si="2"/>
        <v>4.1</v>
      </c>
      <c r="T11" s="409">
        <f t="shared" si="3"/>
        <v>14.1</v>
      </c>
      <c r="U11" s="155" t="str">
        <f>VLOOKUP(B11,Спартакиада!$B$4:$T$51,19,0)</f>
        <v>26-30</v>
      </c>
      <c r="V11" s="156">
        <f>VLOOKUP(U11,Очки!$A$2:$B$112,2,0)</f>
        <v>5</v>
      </c>
      <c r="W11" s="157">
        <f>VLOOKUP(B11,Спартакиада!$B$4:$T$51,10,0)</f>
        <v>7</v>
      </c>
      <c r="X11" s="157">
        <f>VLOOKUP(B11,Спартакиада!$B$4:$T$51,18,0)</f>
        <v>6</v>
      </c>
      <c r="Y11" s="156">
        <f t="shared" si="4"/>
        <v>4.3</v>
      </c>
      <c r="Z11" s="409">
        <f t="shared" si="5"/>
        <v>9.3</v>
      </c>
      <c r="AA11" s="158" t="str">
        <f>VLOOKUP(B11,Форвард!$C$44:$S$66,17,FALSE)</f>
        <v>7-9</v>
      </c>
      <c r="AB11" s="159">
        <f>VLOOKUP(AA11,Очки!$A$2:$B$111,2,0)</f>
        <v>26</v>
      </c>
      <c r="AC11" s="160">
        <f>VLOOKUP(B11,Форвард!$C$4:$S$42,8,FALSE)+VLOOKUP(B11,Форвард!$C$44:$S$66,8,FALSE)</f>
        <v>10</v>
      </c>
      <c r="AD11" s="160">
        <f>VLOOKUP(B11,Форвард!$C$4:$S$42,16,FALSE)+VLOOKUP(B11,Форвард!$C$44:$S$66,16,FALSE)</f>
        <v>12</v>
      </c>
      <c r="AE11" s="156">
        <f t="shared" si="6"/>
        <v>6</v>
      </c>
      <c r="AF11" s="161">
        <f t="shared" si="7"/>
        <v>32</v>
      </c>
      <c r="AG11" s="419">
        <f t="shared" si="10"/>
        <v>123.7</v>
      </c>
      <c r="AH11" s="238"/>
      <c r="AI11" s="5"/>
      <c r="AJ11" s="5"/>
      <c r="AL11" s="5"/>
      <c r="AM11" s="5"/>
    </row>
    <row r="12" spans="1:39" ht="13.5" thickBot="1">
      <c r="A12" s="7">
        <v>9</v>
      </c>
      <c r="B12" s="154" t="s">
        <v>124</v>
      </c>
      <c r="C12" s="155">
        <f>VLOOKUP(B12,'Профи-Опен'!$B$40:$Z$55,25,0)</f>
        <v>11</v>
      </c>
      <c r="D12" s="156">
        <f>VLOOKUP(C12,Очки!$A$2:$B$112,2,0)</f>
        <v>22</v>
      </c>
      <c r="E12" s="157">
        <f>VLOOKUP(B12,'Профи-Опен'!$B$4:$Q$37,9,0)++VLOOKUP(B12,'Профи-Опен'!$B$40:$Z$55,18,0)</f>
        <v>21</v>
      </c>
      <c r="F12" s="157">
        <f>VLOOKUP(B12,'Профи-Опен'!$B$4:$Q$37,15,0)++VLOOKUP(B12,'Профи-Опен'!$B$40:$Z$55,24,0)</f>
        <v>18</v>
      </c>
      <c r="G12" s="156">
        <f t="shared" si="8"/>
        <v>4.3</v>
      </c>
      <c r="H12" s="409">
        <f t="shared" si="9"/>
        <v>26.3</v>
      </c>
      <c r="I12" s="158">
        <f>VLOOKUP(B12,Торпедо!$C$5:$U$32,19,0)</f>
        <v>26</v>
      </c>
      <c r="J12" s="156">
        <f>VLOOKUP(I12,Очки!$A$2:$B$112,2,0)</f>
        <v>7</v>
      </c>
      <c r="K12" s="171">
        <f>VLOOKUP(B12,Торпедо!$C$5:$U$32,10,0)+VLOOKUP(B12,Торпедо!$C$37:$Z$64,15,0)</f>
        <v>18</v>
      </c>
      <c r="L12" s="171">
        <f>VLOOKUP(B12,Торпедо!$C$5:$U$32,18,0)+VLOOKUP(B12,Торпедо!$C$37:$Z$64,23,0)</f>
        <v>15</v>
      </c>
      <c r="M12" s="180">
        <f t="shared" si="0"/>
        <v>4.2</v>
      </c>
      <c r="N12" s="161">
        <f t="shared" si="1"/>
        <v>11.2</v>
      </c>
      <c r="O12" s="155" t="str">
        <f>VLOOKUP(B12,ФФП!$C$5:$M$44,11,0)</f>
        <v>13-15</v>
      </c>
      <c r="P12" s="156">
        <f>VLOOKUP(O12,Очки!$A$2:$B$112,2,0)</f>
        <v>19</v>
      </c>
      <c r="Q12" s="157">
        <f>VLOOKUP(B12,ФФП!$C$3:$L$44,3,0)</f>
        <v>12</v>
      </c>
      <c r="R12" s="157">
        <f>VLOOKUP(B12,ФФП!$C$3:$M$44,2,0)</f>
        <v>13</v>
      </c>
      <c r="S12" s="156">
        <f t="shared" si="2"/>
        <v>5.4</v>
      </c>
      <c r="T12" s="409">
        <f t="shared" si="3"/>
        <v>24.4</v>
      </c>
      <c r="U12" s="155">
        <f>VLOOKUP(B12,Спартакиада!$B$55:$V$65,21,0)</f>
        <v>8</v>
      </c>
      <c r="V12" s="156">
        <f>VLOOKUP(U12,Очки!$A$2:$B$112,2,0)</f>
        <v>26</v>
      </c>
      <c r="W12" s="157">
        <f>VLOOKUP(B12,Спартакиада!$B$4:$T$51,10,0)+VLOOKUP(B12,Спартакиада!$B$55:$V$65,12,0)</f>
        <v>16</v>
      </c>
      <c r="X12" s="157">
        <f>VLOOKUP(B12,Спартакиада!$B$4:$T$51,18,0)+VLOOKUP(B12,Спартакиада!$B$55:$V$65,20,0)</f>
        <v>19</v>
      </c>
      <c r="Y12" s="156">
        <f t="shared" si="4"/>
        <v>5.9</v>
      </c>
      <c r="Z12" s="409">
        <f t="shared" si="5"/>
        <v>31.9</v>
      </c>
      <c r="AA12" s="158">
        <f>VLOOKUP(B12,Форвард!$C$70:$S$75,17,FALSE)</f>
        <v>6</v>
      </c>
      <c r="AB12" s="159">
        <f>VLOOKUP(AA12,Очки!$A$2:$B$111,2,0)</f>
        <v>30</v>
      </c>
      <c r="AC12" s="160">
        <f>VLOOKUP(B12,Форвард!$C$4:$S$42,8,FALSE)+VLOOKUP(B12,Форвард!$C$44:$S$66,8,FALSE)+VLOOKUP(B12,Форвард!$C$70:$S$75,8,FALSE)</f>
        <v>15</v>
      </c>
      <c r="AD12" s="160">
        <f>VLOOKUP(B12,Форвард!$C$4:$S$42,16,FALSE)+VLOOKUP(B12,Форвард!$C$44:$S$66,16,FALSE)+VLOOKUP(B12,Форвард!$C$70:$S$75,16,FALSE)</f>
        <v>14</v>
      </c>
      <c r="AE12" s="156">
        <f t="shared" si="6"/>
        <v>4.7</v>
      </c>
      <c r="AF12" s="161">
        <f t="shared" si="7"/>
        <v>34.7</v>
      </c>
      <c r="AG12" s="419">
        <f t="shared" si="10"/>
        <v>117.3</v>
      </c>
      <c r="AH12" s="229"/>
      <c r="AI12" s="5"/>
      <c r="AJ12" s="5"/>
      <c r="AL12" s="5"/>
      <c r="AM12" s="5"/>
    </row>
    <row r="13" spans="1:39" ht="13.5" thickBot="1">
      <c r="A13" s="6">
        <v>10</v>
      </c>
      <c r="B13" s="153" t="s">
        <v>168</v>
      </c>
      <c r="C13" s="155" t="str">
        <f>VLOOKUP(B13,'Профи-Опен'!$B$4:$Q$37,16,0)</f>
        <v>17-20</v>
      </c>
      <c r="D13" s="156">
        <f>VLOOKUP(C13,Очки!$A$2:$B$112,2,0)</f>
        <v>14.5</v>
      </c>
      <c r="E13" s="157">
        <f>VLOOKUP(B13,'Профи-Опен'!$B$4:$Q$37,9,0)</f>
        <v>6</v>
      </c>
      <c r="F13" s="157">
        <f>VLOOKUP(B13,'Профи-Опен'!$B$4:$Q$37,15,0)</f>
        <v>6</v>
      </c>
      <c r="G13" s="156">
        <f t="shared" si="8"/>
        <v>5</v>
      </c>
      <c r="H13" s="409">
        <f t="shared" si="9"/>
        <v>19.5</v>
      </c>
      <c r="I13" s="158">
        <f>VLOOKUP(B13,Торпедо!$C$5:$U$32,19,0)</f>
        <v>26</v>
      </c>
      <c r="J13" s="156">
        <f>VLOOKUP(I13,Очки!$A$2:$B$112,2,0)</f>
        <v>7</v>
      </c>
      <c r="K13" s="171">
        <f>VLOOKUP(B13,Торпедо!$C$5:$U$32,10,0)+VLOOKUP(B13,Торпедо!$C$37:$Z$64,15,0)</f>
        <v>18</v>
      </c>
      <c r="L13" s="171">
        <f>VLOOKUP(B13,Торпедо!$C$5:$U$32,18,0)+VLOOKUP(B13,Торпедо!$C$37:$Z$64,23,0)</f>
        <v>20</v>
      </c>
      <c r="M13" s="180">
        <f t="shared" si="0"/>
        <v>5.6</v>
      </c>
      <c r="N13" s="161">
        <f t="shared" si="1"/>
        <v>12.6</v>
      </c>
      <c r="O13" s="155">
        <f>VLOOKUP(B13,ФФП!$C$52:$N$63,12,0)</f>
        <v>1</v>
      </c>
      <c r="P13" s="156">
        <f>VLOOKUP(O13,Очки!$A$2:$B$112,2,0)</f>
        <v>45</v>
      </c>
      <c r="Q13" s="157">
        <f>VLOOKUP(B13,ФФП!$C$3:$L$44,3,0)+VLOOKUP(B13,ФФП!$C$52:$N$63,10,0)</f>
        <v>19</v>
      </c>
      <c r="R13" s="157">
        <f>VLOOKUP(B13,ФФП!$C$3:$M$44,2,0)+VLOOKUP(B13,ФФП!$C$52:$N$63,11,0)</f>
        <v>25</v>
      </c>
      <c r="S13" s="156">
        <f t="shared" si="2"/>
        <v>6.6</v>
      </c>
      <c r="T13" s="409">
        <f t="shared" si="3"/>
        <v>51.6</v>
      </c>
      <c r="U13" s="155" t="str">
        <f>VLOOKUP(B13,Спартакиада!$B$4:$T$51,19,0)</f>
        <v>11-15</v>
      </c>
      <c r="V13" s="156">
        <f>VLOOKUP(U13,Очки!$A$2:$B$112,2,0)</f>
        <v>20</v>
      </c>
      <c r="W13" s="157">
        <f>VLOOKUP(B13,Спартакиада!$B$4:$T$51,10,0)</f>
        <v>7</v>
      </c>
      <c r="X13" s="157">
        <f>VLOOKUP(B13,Спартакиада!$B$4:$T$51,18,0)</f>
        <v>9</v>
      </c>
      <c r="Y13" s="156">
        <f t="shared" si="4"/>
        <v>6.4</v>
      </c>
      <c r="Z13" s="409">
        <f t="shared" si="5"/>
        <v>26.4</v>
      </c>
      <c r="AA13" s="158" t="str">
        <f>VLOOKUP(B13,Форвард!$C$4:$S$42,17,FALSE)</f>
        <v>19-20</v>
      </c>
      <c r="AB13" s="159">
        <f>VLOOKUP(AA13,Очки!$A$2:$B$111,2,0)</f>
        <v>13.5</v>
      </c>
      <c r="AC13" s="160">
        <f>VLOOKUP(B13,Форвард!$C$4:$S$42,8,FALSE)</f>
        <v>5</v>
      </c>
      <c r="AD13" s="160">
        <f>VLOOKUP(B13,Форвард!$C$4:$S$42,16,FALSE)</f>
        <v>4</v>
      </c>
      <c r="AE13" s="156">
        <f t="shared" si="6"/>
        <v>4</v>
      </c>
      <c r="AF13" s="161">
        <f t="shared" si="7"/>
        <v>17.5</v>
      </c>
      <c r="AG13" s="419">
        <f t="shared" si="10"/>
        <v>115</v>
      </c>
      <c r="AI13" s="5"/>
      <c r="AL13" s="5"/>
      <c r="AM13" s="5"/>
    </row>
    <row r="14" spans="1:39" ht="13.5" thickBot="1">
      <c r="A14" s="7">
        <v>11</v>
      </c>
      <c r="B14" s="153" t="s">
        <v>62</v>
      </c>
      <c r="C14" s="155">
        <f>VLOOKUP(B14,'Профи-Опен'!$B$40:$Z$55,25,0)</f>
        <v>2</v>
      </c>
      <c r="D14" s="156">
        <f>VLOOKUP(C14,Очки!$A$2:$B$112,2,0)</f>
        <v>40</v>
      </c>
      <c r="E14" s="157">
        <f>VLOOKUP(B14,'Профи-Опен'!$B$4:$Q$37,9,0)++VLOOKUP(B14,'Профи-Опен'!$B$40:$Z$55,18,0)</f>
        <v>21</v>
      </c>
      <c r="F14" s="157">
        <f>VLOOKUP(B14,'Профи-Опен'!$B$4:$Q$37,15,0)++VLOOKUP(B14,'Профи-Опен'!$B$40:$Z$55,24,0)</f>
        <v>36</v>
      </c>
      <c r="G14" s="156">
        <f t="shared" si="8"/>
        <v>8.6</v>
      </c>
      <c r="H14" s="409">
        <f t="shared" si="9"/>
        <v>48.6</v>
      </c>
      <c r="I14" s="158" t="str">
        <f>VLOOKUP(B14,Торпедо!$C$5:$U$32,19,0)</f>
        <v>33-35</v>
      </c>
      <c r="J14" s="156">
        <f>VLOOKUP(I14,Очки!$A$2:$B$112,2,0)</f>
        <v>0</v>
      </c>
      <c r="K14" s="171">
        <f>VLOOKUP(B14,Торпедо!$C$5:$U$32,10,0)</f>
        <v>7</v>
      </c>
      <c r="L14" s="171">
        <f>VLOOKUP(B14,Торпедо!$C$5:$U$32,18,0)</f>
        <v>5</v>
      </c>
      <c r="M14" s="180">
        <f t="shared" si="0"/>
        <v>3.6</v>
      </c>
      <c r="N14" s="161">
        <f t="shared" si="1"/>
        <v>3.6</v>
      </c>
      <c r="O14" s="155">
        <f>VLOOKUP(B14,ФФП!$C$52:$N$63,12,0)</f>
        <v>4</v>
      </c>
      <c r="P14" s="156">
        <f>VLOOKUP(O14,Очки!$A$2:$B$112,2,0)</f>
        <v>34</v>
      </c>
      <c r="Q14" s="157">
        <f>VLOOKUP(B14,ФФП!$C$3:$L$44,3,0)+VLOOKUP(B14,ФФП!$C$52:$N$63,10,0)</f>
        <v>19</v>
      </c>
      <c r="R14" s="157">
        <f>VLOOKUP(B14,ФФП!$C$3:$M$44,2,0)+VLOOKUP(B14,ФФП!$C$52:$N$63,11,0)</f>
        <v>24</v>
      </c>
      <c r="S14" s="156">
        <f t="shared" si="2"/>
        <v>6.3</v>
      </c>
      <c r="T14" s="409">
        <f t="shared" si="3"/>
        <v>40.3</v>
      </c>
      <c r="U14" s="155" t="str">
        <f>VLOOKUP(B14,Спартакиада!$B$4:$T$51,19,0)</f>
        <v>16-20</v>
      </c>
      <c r="V14" s="156">
        <f>VLOOKUP(U14,Очки!$A$2:$B$112,2,0)</f>
        <v>15</v>
      </c>
      <c r="W14" s="157">
        <f>VLOOKUP(B14,Спартакиада!$B$4:$T$51,10,0)</f>
        <v>7</v>
      </c>
      <c r="X14" s="157">
        <f>VLOOKUP(B14,Спартакиада!$B$4:$T$51,18,0)</f>
        <v>8</v>
      </c>
      <c r="Y14" s="156">
        <f t="shared" si="4"/>
        <v>5.7</v>
      </c>
      <c r="Z14" s="409">
        <f t="shared" si="5"/>
        <v>20.7</v>
      </c>
      <c r="AA14" s="158"/>
      <c r="AB14" s="159"/>
      <c r="AC14" s="160"/>
      <c r="AD14" s="160"/>
      <c r="AE14" s="156"/>
      <c r="AF14" s="161"/>
      <c r="AG14" s="419">
        <f>H14+T14+N14+Z14</f>
        <v>113.2</v>
      </c>
      <c r="AI14" s="5"/>
      <c r="AL14" s="5"/>
      <c r="AM14" s="5"/>
    </row>
    <row r="15" spans="1:39" ht="13.5" thickBot="1">
      <c r="A15" s="6">
        <v>12</v>
      </c>
      <c r="B15" s="153" t="s">
        <v>126</v>
      </c>
      <c r="C15" s="155">
        <f>VLOOKUP(B15,'Профи-Опен'!$B$40:$Z$55,25,0)</f>
        <v>12</v>
      </c>
      <c r="D15" s="156">
        <f>VLOOKUP(C15,Очки!$A$2:$B$112,2,0)</f>
        <v>21</v>
      </c>
      <c r="E15" s="157">
        <f>VLOOKUP(B15,'Профи-Опен'!$B$4:$Q$37,9,0)++VLOOKUP(B15,'Профи-Опен'!$B$40:$Z$55,18,0)</f>
        <v>21</v>
      </c>
      <c r="F15" s="157">
        <f>VLOOKUP(B15,'Профи-Опен'!$B$4:$Q$37,15,0)++VLOOKUP(B15,'Профи-Опен'!$B$40:$Z$55,24,0)</f>
        <v>19</v>
      </c>
      <c r="G15" s="156">
        <f t="shared" si="8"/>
        <v>4.5</v>
      </c>
      <c r="H15" s="409">
        <f t="shared" si="9"/>
        <v>25.5</v>
      </c>
      <c r="I15" s="158">
        <f>VLOOKUP(B15,Торпедо!$C$5:$U$32,19,0)</f>
        <v>26</v>
      </c>
      <c r="J15" s="156">
        <f>VLOOKUP(I15,Очки!$A$2:$B$112,2,0)</f>
        <v>7</v>
      </c>
      <c r="K15" s="171">
        <f>VLOOKUP(B15,Торпедо!$C$5:$U$32,10,0)+VLOOKUP(B15,Торпедо!$C$37:$Z$64,15,0)</f>
        <v>19</v>
      </c>
      <c r="L15" s="171">
        <f>VLOOKUP(B15,Торпедо!$C$5:$U$32,18,0)+VLOOKUP(B15,Торпедо!$C$37:$Z$64,23,0)</f>
        <v>22</v>
      </c>
      <c r="M15" s="180">
        <f t="shared" si="0"/>
        <v>5.8</v>
      </c>
      <c r="N15" s="161">
        <f t="shared" si="1"/>
        <v>12.8</v>
      </c>
      <c r="O15" s="155">
        <f>VLOOKUP(B15,ФФП!$C$52:$N$63,12,0)</f>
        <v>10</v>
      </c>
      <c r="P15" s="156">
        <f>VLOOKUP(O15,Очки!$A$2:$B$112,2,0)</f>
        <v>23</v>
      </c>
      <c r="Q15" s="157">
        <f>VLOOKUP(B15,ФФП!$C$3:$L$44,3,0)+VLOOKUP(B15,ФФП!$C$52:$N$63,10,0)</f>
        <v>19</v>
      </c>
      <c r="R15" s="157">
        <f>VLOOKUP(B15,ФФП!$C$3:$M$44,2,0)+VLOOKUP(B15,ФФП!$C$52:$N$63,11,0)</f>
        <v>21</v>
      </c>
      <c r="S15" s="156">
        <f t="shared" si="2"/>
        <v>5.5</v>
      </c>
      <c r="T15" s="409">
        <f t="shared" si="3"/>
        <v>28.5</v>
      </c>
      <c r="U15" s="155" t="str">
        <f>VLOOKUP(B15,Спартакиада!$B$4:$T$51,19,0)</f>
        <v>26-30</v>
      </c>
      <c r="V15" s="156">
        <f>VLOOKUP(U15,Очки!$A$2:$B$112,2,0)</f>
        <v>5</v>
      </c>
      <c r="W15" s="157">
        <f>VLOOKUP(B15,Спартакиада!$B$4:$T$51,10,0)</f>
        <v>7</v>
      </c>
      <c r="X15" s="157">
        <f>VLOOKUP(B15,Спартакиада!$B$4:$T$51,18,0)</f>
        <v>4</v>
      </c>
      <c r="Y15" s="156">
        <f t="shared" si="4"/>
        <v>2.9</v>
      </c>
      <c r="Z15" s="409">
        <f t="shared" si="5"/>
        <v>7.9</v>
      </c>
      <c r="AA15" s="158">
        <f>VLOOKUP(B15,Форвард!$C$70:$S$75,17,FALSE)</f>
        <v>4</v>
      </c>
      <c r="AB15" s="159">
        <f>VLOOKUP(AA15,Очки!$A$2:$B$111,2,0)</f>
        <v>34</v>
      </c>
      <c r="AC15" s="160">
        <f>VLOOKUP(B15,Форвард!$C$4:$S$42,8,FALSE)+VLOOKUP(B15,Форвард!$C$44:$S$66,8,FALSE)+VLOOKUP(B15,Форвард!$C$70:$S$75,8,FALSE)</f>
        <v>15</v>
      </c>
      <c r="AD15" s="160">
        <f>VLOOKUP(B15,Форвард!$C$4:$S$42,16,FALSE)+VLOOKUP(B15,Форвард!$C$44:$S$66,16,FALSE)+VLOOKUP(B15,Форвард!$C$70:$S$75,16,FALSE)</f>
        <v>21</v>
      </c>
      <c r="AE15" s="156">
        <f aca="true" t="shared" si="11" ref="AE15:AE24">ROUND(10*AD15/(AC15*2),1)</f>
        <v>7</v>
      </c>
      <c r="AF15" s="161">
        <f aca="true" t="shared" si="12" ref="AF15:AF24">AB15+AE15</f>
        <v>41</v>
      </c>
      <c r="AG15" s="419">
        <f aca="true" t="shared" si="13" ref="AG15:AG24">H15+T15+N15+Z15+AF15-MIN(H15,N15,T15,Z15,AF15)</f>
        <v>107.8</v>
      </c>
      <c r="AI15" s="5"/>
      <c r="AL15" s="5"/>
      <c r="AM15" s="5"/>
    </row>
    <row r="16" spans="1:39" ht="26.25" thickBot="1">
      <c r="A16" s="7">
        <v>13</v>
      </c>
      <c r="B16" s="418" t="s">
        <v>83</v>
      </c>
      <c r="C16" s="155">
        <f>VLOOKUP(B16,'Профи-Опен'!$B$40:$Z$55,25,0)</f>
        <v>16</v>
      </c>
      <c r="D16" s="156">
        <f>VLOOKUP(C16,Очки!$A$2:$B$112,2,0)</f>
        <v>17</v>
      </c>
      <c r="E16" s="157">
        <f>VLOOKUP(B16,'Профи-Опен'!$B$4:$Q$37,9,0)++VLOOKUP(B16,'Профи-Опен'!$B$40:$Z$55,18,0)</f>
        <v>21</v>
      </c>
      <c r="F16" s="157">
        <f>VLOOKUP(B16,'Профи-Опен'!$B$4:$Q$37,15,0)++VLOOKUP(B16,'Профи-Опен'!$B$40:$Z$55,24,0)</f>
        <v>13</v>
      </c>
      <c r="G16" s="156">
        <f t="shared" si="8"/>
        <v>3.1</v>
      </c>
      <c r="H16" s="409">
        <f t="shared" si="9"/>
        <v>20.1</v>
      </c>
      <c r="I16" s="158" t="str">
        <f>VLOOKUP(B16,Торпедо!$C$5:$U$32,19,0)</f>
        <v>33-35</v>
      </c>
      <c r="J16" s="156">
        <f>VLOOKUP(I16,Очки!$A$2:$B$112,2,0)</f>
        <v>0</v>
      </c>
      <c r="K16" s="171">
        <f>VLOOKUP(B16,Торпедо!$C$5:$U$32,10,0)</f>
        <v>7</v>
      </c>
      <c r="L16" s="171">
        <f>VLOOKUP(B16,Торпедо!$C$5:$U$32,18,0)</f>
        <v>5</v>
      </c>
      <c r="M16" s="180">
        <f t="shared" si="0"/>
        <v>3.6</v>
      </c>
      <c r="N16" s="161">
        <f t="shared" si="1"/>
        <v>3.6</v>
      </c>
      <c r="O16" s="155">
        <f>VLOOKUP(B16,ФФП!$C$52:$N$63,12,0)</f>
        <v>2</v>
      </c>
      <c r="P16" s="156">
        <f>VLOOKUP(O16,Очки!$A$2:$B$112,2,0)</f>
        <v>40</v>
      </c>
      <c r="Q16" s="157">
        <f>VLOOKUP(B16,ФФП!$C$3:$L$44,3,0)+VLOOKUP(B16,ФФП!$C$52:$N$63,10,0)</f>
        <v>20</v>
      </c>
      <c r="R16" s="157">
        <f>VLOOKUP(B16,ФФП!$C$3:$M$44,2,0)+VLOOKUP(B16,ФФП!$C$52:$N$63,11,0)</f>
        <v>27</v>
      </c>
      <c r="S16" s="156">
        <f t="shared" si="2"/>
        <v>6.8</v>
      </c>
      <c r="T16" s="409">
        <f t="shared" si="3"/>
        <v>46.8</v>
      </c>
      <c r="U16" s="155" t="str">
        <f>VLOOKUP(B16,Спартакиада!$B$4:$T$51,19,0)</f>
        <v>11-15</v>
      </c>
      <c r="V16" s="156">
        <f>VLOOKUP(U16,Очки!$A$2:$B$112,2,0)</f>
        <v>20</v>
      </c>
      <c r="W16" s="157">
        <f>VLOOKUP(B16,Спартакиада!$B$4:$T$51,10,0)</f>
        <v>7</v>
      </c>
      <c r="X16" s="157">
        <f>VLOOKUP(B16,Спартакиада!$B$4:$T$51,18,0)</f>
        <v>8</v>
      </c>
      <c r="Y16" s="156">
        <f t="shared" si="4"/>
        <v>5.7</v>
      </c>
      <c r="Z16" s="409">
        <f t="shared" si="5"/>
        <v>25.7</v>
      </c>
      <c r="AA16" s="158" t="str">
        <f>VLOOKUP(B16,Форвард!$C$4:$S$42,17,FALSE)</f>
        <v>21-25</v>
      </c>
      <c r="AB16" s="159">
        <f>VLOOKUP(AA16,Очки!$A$2:$B$111,2,0)</f>
        <v>10</v>
      </c>
      <c r="AC16" s="160">
        <f>VLOOKUP(B16,Форвард!$C$4:$S$42,8,FALSE)</f>
        <v>5</v>
      </c>
      <c r="AD16" s="160">
        <f>VLOOKUP(B16,Форвард!$C$4:$S$42,16,FALSE)</f>
        <v>4</v>
      </c>
      <c r="AE16" s="156">
        <f t="shared" si="11"/>
        <v>4</v>
      </c>
      <c r="AF16" s="161">
        <f t="shared" si="12"/>
        <v>14</v>
      </c>
      <c r="AG16" s="419">
        <f t="shared" si="13"/>
        <v>106.60000000000001</v>
      </c>
      <c r="AI16" s="5"/>
      <c r="AL16" s="5"/>
      <c r="AM16" s="5"/>
    </row>
    <row r="17" spans="1:39" ht="13.5" thickBot="1">
      <c r="A17" s="6">
        <v>14</v>
      </c>
      <c r="B17" s="280" t="s">
        <v>67</v>
      </c>
      <c r="C17" s="155">
        <f>VLOOKUP(B17,'Профи-Опен'!$B$40:$Z$55,25,0)</f>
        <v>9</v>
      </c>
      <c r="D17" s="156">
        <f>VLOOKUP(C17,Очки!$A$2:$B$112,2,0)</f>
        <v>24</v>
      </c>
      <c r="E17" s="157">
        <f>VLOOKUP(B17,'Профи-Опен'!$B$4:$Q$37,9,0)++VLOOKUP(B17,'Профи-Опен'!$B$40:$Z$55,18,0)</f>
        <v>21</v>
      </c>
      <c r="F17" s="157">
        <f>VLOOKUP(B17,'Профи-Опен'!$B$4:$Q$37,15,0)++VLOOKUP(B17,'Профи-Опен'!$B$40:$Z$55,24,0)</f>
        <v>21</v>
      </c>
      <c r="G17" s="156">
        <f t="shared" si="8"/>
        <v>5</v>
      </c>
      <c r="H17" s="409">
        <f t="shared" si="9"/>
        <v>29</v>
      </c>
      <c r="I17" s="158" t="str">
        <f>VLOOKUP(B17,Торпедо!$C$37:$Z$64,24,0)</f>
        <v>25-26</v>
      </c>
      <c r="J17" s="156">
        <f>VLOOKUP(I17,Очки!$A$2:$B$112,2,0)</f>
        <v>8.5</v>
      </c>
      <c r="K17" s="171">
        <f>VLOOKUP(B17,Торпедо!$C$37:$Z$64,15,0)</f>
        <v>12</v>
      </c>
      <c r="L17" s="171">
        <f>VLOOKUP(B17,Торпедо!$C$37:$Z$64,23,0)</f>
        <v>7</v>
      </c>
      <c r="M17" s="180">
        <f t="shared" si="0"/>
        <v>2.9</v>
      </c>
      <c r="N17" s="161">
        <f t="shared" si="1"/>
        <v>11.4</v>
      </c>
      <c r="O17" s="155" t="str">
        <f>VLOOKUP(B17,ФФП!$C$5:$M$44,11,0)</f>
        <v>31-33</v>
      </c>
      <c r="P17" s="156">
        <f>VLOOKUP(O17,Очки!$A$2:$B$112,2,0)</f>
        <v>1</v>
      </c>
      <c r="Q17" s="157">
        <f>VLOOKUP(B17,ФФП!$C$3:$L$44,3,0)</f>
        <v>11</v>
      </c>
      <c r="R17" s="157">
        <f>VLOOKUP(B17,ФФП!$C$3:$M$44,2,0)</f>
        <v>7</v>
      </c>
      <c r="S17" s="156">
        <f t="shared" si="2"/>
        <v>3.2</v>
      </c>
      <c r="T17" s="409">
        <f t="shared" si="3"/>
        <v>4.2</v>
      </c>
      <c r="U17" s="155">
        <f>VLOOKUP(B17,Спартакиада!$B$55:$V$65,21,0)</f>
        <v>6</v>
      </c>
      <c r="V17" s="156">
        <f>VLOOKUP(U17,Очки!$A$2:$B$112,2,0)</f>
        <v>30</v>
      </c>
      <c r="W17" s="157">
        <f>VLOOKUP(B17,Спартакиада!$B$4:$T$51,10,0)+VLOOKUP(B17,Спартакиада!$B$55:$V$65,12,0)</f>
        <v>16</v>
      </c>
      <c r="X17" s="157">
        <f>VLOOKUP(B17,Спартакиада!$B$4:$T$51,18,0)+VLOOKUP(B17,Спартакиада!$B$55:$V$65,20,0)</f>
        <v>20</v>
      </c>
      <c r="Y17" s="156">
        <f t="shared" si="4"/>
        <v>6.3</v>
      </c>
      <c r="Z17" s="409">
        <f t="shared" si="5"/>
        <v>36.3</v>
      </c>
      <c r="AA17" s="158" t="str">
        <f>VLOOKUP(B17,Форвард!$C$44:$S$66,17,FALSE)</f>
        <v>10-12</v>
      </c>
      <c r="AB17" s="159">
        <f>VLOOKUP(AA17,Очки!$A$2:$B$111,2,0)</f>
        <v>22</v>
      </c>
      <c r="AC17" s="160">
        <f>VLOOKUP(B17,Форвард!$C$4:$S$42,8,FALSE)+VLOOKUP(B17,Форвард!$C$44:$S$66,8,FALSE)</f>
        <v>10</v>
      </c>
      <c r="AD17" s="160">
        <f>VLOOKUP(B17,Форвард!$C$4:$S$42,16,FALSE)+VLOOKUP(B17,Форвард!$C$44:$S$66,16,FALSE)</f>
        <v>10</v>
      </c>
      <c r="AE17" s="156">
        <f t="shared" si="11"/>
        <v>5</v>
      </c>
      <c r="AF17" s="161">
        <f t="shared" si="12"/>
        <v>27</v>
      </c>
      <c r="AG17" s="419">
        <f t="shared" si="13"/>
        <v>103.7</v>
      </c>
      <c r="AI17" s="5"/>
      <c r="AL17" s="5"/>
      <c r="AM17" s="5"/>
    </row>
    <row r="18" spans="1:39" ht="13.5" thickBot="1">
      <c r="A18" s="7">
        <v>15</v>
      </c>
      <c r="B18" s="153" t="s">
        <v>9</v>
      </c>
      <c r="C18" s="155">
        <f>VLOOKUP(B18,'Профи-Опен'!$B$40:$Z$55,25,0)</f>
        <v>14</v>
      </c>
      <c r="D18" s="156">
        <f>VLOOKUP(C18,Очки!$A$2:$B$112,2,0)</f>
        <v>19</v>
      </c>
      <c r="E18" s="157">
        <f>VLOOKUP(B18,'Профи-Опен'!$B$4:$Q$37,9,0)++VLOOKUP(B18,'Профи-Опен'!$B$40:$Z$55,18,0)</f>
        <v>21</v>
      </c>
      <c r="F18" s="157">
        <f>VLOOKUP(B18,'Профи-Опен'!$B$4:$Q$37,15,0)++VLOOKUP(B18,'Профи-Опен'!$B$40:$Z$55,24,0)</f>
        <v>18</v>
      </c>
      <c r="G18" s="156">
        <f t="shared" si="8"/>
        <v>4.3</v>
      </c>
      <c r="H18" s="409">
        <f t="shared" si="9"/>
        <v>23.3</v>
      </c>
      <c r="I18" s="158" t="str">
        <f>VLOOKUP(B18,Торпедо!$C$37:$Z$64,24,0)</f>
        <v>19-20</v>
      </c>
      <c r="J18" s="156">
        <f>VLOOKUP(I18,Очки!$A$2:$B$112,2,0)</f>
        <v>13.5</v>
      </c>
      <c r="K18" s="171">
        <f>VLOOKUP(B18,Торпедо!$C$37:$Z$64,15,0)</f>
        <v>12</v>
      </c>
      <c r="L18" s="171">
        <f>VLOOKUP(B18,Торпедо!$C$37:$Z$64,23,0)</f>
        <v>8</v>
      </c>
      <c r="M18" s="180">
        <f t="shared" si="0"/>
        <v>3.3</v>
      </c>
      <c r="N18" s="161">
        <f t="shared" si="1"/>
        <v>16.8</v>
      </c>
      <c r="O18" s="155" t="str">
        <f>VLOOKUP(B18,ФФП!$C$5:$M$44,11,0)</f>
        <v>19-21</v>
      </c>
      <c r="P18" s="156">
        <f>VLOOKUP(O18,Очки!$A$2:$B$112,2,0)</f>
        <v>13</v>
      </c>
      <c r="Q18" s="157">
        <f>VLOOKUP(B18,ФФП!$C$3:$L$44,3,0)</f>
        <v>11</v>
      </c>
      <c r="R18" s="157">
        <f>VLOOKUP(B18,ФФП!$C$3:$M$44,2,0)</f>
        <v>11</v>
      </c>
      <c r="S18" s="156">
        <f t="shared" si="2"/>
        <v>5</v>
      </c>
      <c r="T18" s="409">
        <f t="shared" si="3"/>
        <v>18</v>
      </c>
      <c r="U18" s="155">
        <f>VLOOKUP(B18,Спартакиада!$B$55:$V$65,21,0)</f>
        <v>7</v>
      </c>
      <c r="V18" s="156">
        <f>VLOOKUP(U18,Очки!$A$2:$B$112,2,0)</f>
        <v>28</v>
      </c>
      <c r="W18" s="157">
        <f>VLOOKUP(B18,Спартакиада!$B$4:$T$51,10,0)+VLOOKUP(B18,Спартакиада!$B$55:$V$65,12,0)</f>
        <v>16</v>
      </c>
      <c r="X18" s="157">
        <f>VLOOKUP(B18,Спартакиада!$B$4:$T$51,18,0)+VLOOKUP(B18,Спартакиада!$B$55:$V$65,20,0)</f>
        <v>16</v>
      </c>
      <c r="Y18" s="156">
        <f t="shared" si="4"/>
        <v>5</v>
      </c>
      <c r="Z18" s="409">
        <f t="shared" si="5"/>
        <v>33</v>
      </c>
      <c r="AA18" s="158" t="str">
        <f>VLOOKUP(B18,Форвард!$C$44:$S$66,17,FALSE)</f>
        <v>13-15</v>
      </c>
      <c r="AB18" s="159">
        <f>VLOOKUP(AA18,Очки!$A$2:$B$111,2,0)</f>
        <v>19</v>
      </c>
      <c r="AC18" s="160">
        <f>VLOOKUP(B18,Форвард!$C$4:$S$42,8,FALSE)+VLOOKUP(B18,Форвард!$C$44:$S$66,8,FALSE)</f>
        <v>10</v>
      </c>
      <c r="AD18" s="160">
        <f>VLOOKUP(B18,Форвард!$C$4:$S$42,16,FALSE)+VLOOKUP(B18,Форвард!$C$44:$S$66,16,FALSE)</f>
        <v>10</v>
      </c>
      <c r="AE18" s="156">
        <f t="shared" si="11"/>
        <v>5</v>
      </c>
      <c r="AF18" s="161">
        <f t="shared" si="12"/>
        <v>24</v>
      </c>
      <c r="AG18" s="419">
        <f t="shared" si="13"/>
        <v>98.3</v>
      </c>
      <c r="AI18" s="5"/>
      <c r="AL18" s="5"/>
      <c r="AM18" s="5"/>
    </row>
    <row r="19" spans="1:39" ht="13.5" thickBot="1">
      <c r="A19" s="6">
        <v>16</v>
      </c>
      <c r="B19" s="153" t="s">
        <v>158</v>
      </c>
      <c r="C19" s="155">
        <f>VLOOKUP(B19,'Профи-Опен'!$B$40:$Z$55,25,0)</f>
        <v>13</v>
      </c>
      <c r="D19" s="156">
        <f>VLOOKUP(C19,Очки!$A$2:$B$112,2,0)</f>
        <v>20</v>
      </c>
      <c r="E19" s="157">
        <f>VLOOKUP(B19,'Профи-Опен'!$B$4:$Q$37,9,0)++VLOOKUP(B19,'Профи-Опен'!$B$40:$Z$55,18,0)</f>
        <v>21</v>
      </c>
      <c r="F19" s="157">
        <f>VLOOKUP(B19,'Профи-Опен'!$B$4:$Q$37,15,0)++VLOOKUP(B19,'Профи-Опен'!$B$40:$Z$55,24,0)</f>
        <v>17</v>
      </c>
      <c r="G19" s="156">
        <f t="shared" si="8"/>
        <v>4</v>
      </c>
      <c r="H19" s="409">
        <f t="shared" si="9"/>
        <v>24</v>
      </c>
      <c r="I19" s="158">
        <f>VLOOKUP(B19,Торпедо!$C$69:$W$76,21,0)</f>
        <v>7</v>
      </c>
      <c r="J19" s="156">
        <f>VLOOKUP(I19,Очки!$A$2:$B$112,2,0)</f>
        <v>28</v>
      </c>
      <c r="K19" s="171">
        <f>VLOOKUP(B19,Торпедо!$C$37:$Z$64,15,0)+VLOOKUP(B19,Торпедо!$C$69:$W$76,12,0)</f>
        <v>16</v>
      </c>
      <c r="L19" s="171">
        <f>VLOOKUP(B19,Торпедо!$C$37:$Z$64,23,0)+VLOOKUP(B19,Торпедо!$C$69:$W$76,20,0)</f>
        <v>18</v>
      </c>
      <c r="M19" s="180">
        <f t="shared" si="0"/>
        <v>5.6</v>
      </c>
      <c r="N19" s="161">
        <f t="shared" si="1"/>
        <v>33.6</v>
      </c>
      <c r="O19" s="155" t="str">
        <f>VLOOKUP(B19,ФФП!$C$5:$M$44,11,0)</f>
        <v>13-15</v>
      </c>
      <c r="P19" s="156">
        <f>VLOOKUP(O19,Очки!$A$2:$B$112,2,0)</f>
        <v>19</v>
      </c>
      <c r="Q19" s="157">
        <f>VLOOKUP(B19,ФФП!$C$3:$L$44,3,0)</f>
        <v>12</v>
      </c>
      <c r="R19" s="157">
        <f>VLOOKUP(B19,ФФП!$C$3:$M$44,2,0)</f>
        <v>13</v>
      </c>
      <c r="S19" s="156">
        <f t="shared" si="2"/>
        <v>5.4</v>
      </c>
      <c r="T19" s="409">
        <f t="shared" si="3"/>
        <v>24.4</v>
      </c>
      <c r="U19" s="155" t="str">
        <f>VLOOKUP(B19,Спартакиада!$B$4:$T$51,19,0)</f>
        <v>26-30</v>
      </c>
      <c r="V19" s="156">
        <f>VLOOKUP(U19,Очки!$A$2:$B$112,2,0)</f>
        <v>5</v>
      </c>
      <c r="W19" s="157">
        <f>VLOOKUP(B19,Спартакиада!$B$4:$T$51,10,0)</f>
        <v>7</v>
      </c>
      <c r="X19" s="157">
        <f>VLOOKUP(B19,Спартакиада!$B$4:$T$51,18,0)</f>
        <v>6</v>
      </c>
      <c r="Y19" s="156">
        <f t="shared" si="4"/>
        <v>4.3</v>
      </c>
      <c r="Z19" s="409">
        <f t="shared" si="5"/>
        <v>9.3</v>
      </c>
      <c r="AA19" s="158" t="str">
        <f>VLOOKUP(B19,Форвард!$C$4:$S$42,17,FALSE)</f>
        <v>21-25</v>
      </c>
      <c r="AB19" s="159">
        <f>VLOOKUP(AA19,Очки!$A$2:$B$111,2,0)</f>
        <v>10</v>
      </c>
      <c r="AC19" s="160">
        <f>VLOOKUP(B19,Форвард!$C$4:$S$42,8,FALSE)</f>
        <v>5</v>
      </c>
      <c r="AD19" s="160">
        <f>VLOOKUP(B19,Форвард!$C$4:$S$42,16,FALSE)</f>
        <v>4</v>
      </c>
      <c r="AE19" s="156">
        <f t="shared" si="11"/>
        <v>4</v>
      </c>
      <c r="AF19" s="161">
        <f t="shared" si="12"/>
        <v>14</v>
      </c>
      <c r="AG19" s="419">
        <f t="shared" si="13"/>
        <v>96</v>
      </c>
      <c r="AI19" s="5"/>
      <c r="AL19" s="5"/>
      <c r="AM19" s="5"/>
    </row>
    <row r="20" spans="1:39" ht="13.5" thickBot="1">
      <c r="A20" s="7">
        <v>17</v>
      </c>
      <c r="B20" s="154" t="s">
        <v>8</v>
      </c>
      <c r="C20" s="155" t="str">
        <f>VLOOKUP(B20,'Профи-Опен'!$B$4:$Q$37,16,0)</f>
        <v>17-20</v>
      </c>
      <c r="D20" s="156">
        <f>VLOOKUP(C20,Очки!$A$2:$B$112,2,0)</f>
        <v>14.5</v>
      </c>
      <c r="E20" s="157">
        <f>VLOOKUP(B20,'Профи-Опен'!$B$4:$Q$37,9,0)</f>
        <v>6</v>
      </c>
      <c r="F20" s="157">
        <f>VLOOKUP(B20,'Профи-Опен'!$B$4:$Q$37,15,0)</f>
        <v>5</v>
      </c>
      <c r="G20" s="156">
        <f t="shared" si="8"/>
        <v>4.2</v>
      </c>
      <c r="H20" s="409">
        <f t="shared" si="9"/>
        <v>18.7</v>
      </c>
      <c r="I20" s="158">
        <f>VLOOKUP(B20,Торпедо!$C$5:$U$32,19,0)</f>
        <v>26</v>
      </c>
      <c r="J20" s="156">
        <f>VLOOKUP(I20,Очки!$A$2:$B$112,2,0)</f>
        <v>7</v>
      </c>
      <c r="K20" s="171">
        <f>VLOOKUP(B20,Торпедо!$C$5:$U$32,10,0)+VLOOKUP(B20,Торпедо!$C$37:$Z$64,15,0)</f>
        <v>18</v>
      </c>
      <c r="L20" s="171">
        <f>VLOOKUP(B20,Торпедо!$C$5:$U$32,18,0)+VLOOKUP(B20,Торпедо!$C$37:$Z$64,23,0)</f>
        <v>16</v>
      </c>
      <c r="M20" s="180">
        <f t="shared" si="0"/>
        <v>4.4</v>
      </c>
      <c r="N20" s="161">
        <f t="shared" si="1"/>
        <v>11.4</v>
      </c>
      <c r="O20" s="155" t="str">
        <f>VLOOKUP(B20,ФФП!$C$5:$M$44,11,0)</f>
        <v>22-24</v>
      </c>
      <c r="P20" s="156">
        <f>VLOOKUP(O20,Очки!$A$2:$B$112,2,0)</f>
        <v>10</v>
      </c>
      <c r="Q20" s="157">
        <f>VLOOKUP(B20,ФФП!$C$3:$L$44,3,0)</f>
        <v>11</v>
      </c>
      <c r="R20" s="157">
        <f>VLOOKUP(B20,ФФП!$C$3:$M$44,2,0)</f>
        <v>10</v>
      </c>
      <c r="S20" s="156">
        <f t="shared" si="2"/>
        <v>4.5</v>
      </c>
      <c r="T20" s="409">
        <f t="shared" si="3"/>
        <v>14.5</v>
      </c>
      <c r="U20" s="155">
        <f>VLOOKUP(B20,Спартакиада!$B$55:$V$65,21,0)</f>
        <v>2</v>
      </c>
      <c r="V20" s="156">
        <f>VLOOKUP(U20,Очки!$A$2:$B$112,2,0)</f>
        <v>40</v>
      </c>
      <c r="W20" s="157">
        <f>VLOOKUP(B20,Спартакиада!$B$4:$T$51,10,0)+VLOOKUP(B20,Спартакиада!$B$55:$V$65,12,0)</f>
        <v>16</v>
      </c>
      <c r="X20" s="157">
        <f>VLOOKUP(B20,Спартакиада!$B$4:$T$51,18,0)+VLOOKUP(B20,Спартакиада!$B$55:$V$65,20,0)</f>
        <v>29</v>
      </c>
      <c r="Y20" s="156">
        <f t="shared" si="4"/>
        <v>9.1</v>
      </c>
      <c r="Z20" s="409">
        <f t="shared" si="5"/>
        <v>49.1</v>
      </c>
      <c r="AA20" s="158" t="str">
        <f>VLOOKUP(B20,Форвард!$C$4:$S$42,17,FALSE)</f>
        <v>26-30</v>
      </c>
      <c r="AB20" s="159">
        <f>VLOOKUP(AA20,Очки!$A$2:$B$111,2,0)</f>
        <v>5</v>
      </c>
      <c r="AC20" s="160">
        <f>VLOOKUP(B20,Форвард!$C$4:$S$42,8,FALSE)</f>
        <v>5</v>
      </c>
      <c r="AD20" s="160">
        <f>VLOOKUP(B20,Форвард!$C$4:$S$42,16,FALSE)</f>
        <v>0</v>
      </c>
      <c r="AE20" s="156">
        <f t="shared" si="11"/>
        <v>0</v>
      </c>
      <c r="AF20" s="161">
        <f t="shared" si="12"/>
        <v>5</v>
      </c>
      <c r="AG20" s="419">
        <f t="shared" si="13"/>
        <v>93.7</v>
      </c>
      <c r="AI20" s="5"/>
      <c r="AL20" s="5"/>
      <c r="AM20" s="5"/>
    </row>
    <row r="21" spans="1:39" ht="13.5" thickBot="1">
      <c r="A21" s="6">
        <v>18</v>
      </c>
      <c r="B21" s="153" t="s">
        <v>60</v>
      </c>
      <c r="C21" s="155">
        <f>VLOOKUP(B21,'Профи-Опен'!$B$40:$Z$55,25,0)</f>
        <v>15</v>
      </c>
      <c r="D21" s="156">
        <f>VLOOKUP(C21,Очки!$A$2:$B$112,2,0)</f>
        <v>18</v>
      </c>
      <c r="E21" s="157">
        <f>VLOOKUP(B21,'Профи-Опен'!$B$4:$Q$37,9,0)++VLOOKUP(B21,'Профи-Опен'!$B$40:$Z$55,18,0)</f>
        <v>21</v>
      </c>
      <c r="F21" s="157">
        <f>VLOOKUP(B21,'Профи-Опен'!$B$4:$Q$37,15,0)++VLOOKUP(B21,'Профи-Опен'!$B$40:$Z$55,24,0)</f>
        <v>13</v>
      </c>
      <c r="G21" s="156">
        <f t="shared" si="8"/>
        <v>3.1</v>
      </c>
      <c r="H21" s="409">
        <f t="shared" si="9"/>
        <v>21.1</v>
      </c>
      <c r="I21" s="158">
        <f>VLOOKUP(B21,Торпедо!$C$69:$W$76,21,0)</f>
        <v>8</v>
      </c>
      <c r="J21" s="156">
        <f>VLOOKUP(I21,Очки!$A$2:$B$112,2,0)</f>
        <v>26</v>
      </c>
      <c r="K21" s="171">
        <f>VLOOKUP(B21,Торпедо!$C$37:$Z$64,15,0)+VLOOKUP(B21,Торпедо!$C$69:$W$76,12,0)</f>
        <v>16</v>
      </c>
      <c r="L21" s="171">
        <f>VLOOKUP(B21,Торпедо!$C$37:$Z$64,23,0)+VLOOKUP(B21,Торпедо!$C$69:$W$76,20,0)</f>
        <v>21</v>
      </c>
      <c r="M21" s="180">
        <f t="shared" si="0"/>
        <v>6.6</v>
      </c>
      <c r="N21" s="161">
        <f t="shared" si="1"/>
        <v>32.6</v>
      </c>
      <c r="O21" s="155" t="str">
        <f>VLOOKUP(B21,ФФП!$C$5:$M$44,11,0)</f>
        <v>19-21</v>
      </c>
      <c r="P21" s="156">
        <f>VLOOKUP(O21,Очки!$A$2:$B$112,2,0)</f>
        <v>13</v>
      </c>
      <c r="Q21" s="157">
        <f>VLOOKUP(B21,ФФП!$C$3:$L$44,3,0)</f>
        <v>11</v>
      </c>
      <c r="R21" s="157">
        <f>VLOOKUP(B21,ФФП!$C$3:$M$44,2,0)</f>
        <v>10</v>
      </c>
      <c r="S21" s="156">
        <f t="shared" si="2"/>
        <v>4.5</v>
      </c>
      <c r="T21" s="409">
        <f t="shared" si="3"/>
        <v>17.5</v>
      </c>
      <c r="U21" s="155" t="str">
        <f>VLOOKUP(B21,Спартакиада!$B$4:$T$51,19,0)</f>
        <v>16-20</v>
      </c>
      <c r="V21" s="156">
        <f>VLOOKUP(U21,Очки!$A$2:$B$112,2,0)</f>
        <v>15</v>
      </c>
      <c r="W21" s="157">
        <f>VLOOKUP(B21,Спартакиада!$B$4:$T$51,10,0)</f>
        <v>7</v>
      </c>
      <c r="X21" s="157">
        <f>VLOOKUP(B21,Спартакиада!$B$4:$T$51,18,0)</f>
        <v>8</v>
      </c>
      <c r="Y21" s="156">
        <f t="shared" si="4"/>
        <v>5.7</v>
      </c>
      <c r="Z21" s="409">
        <f t="shared" si="5"/>
        <v>20.7</v>
      </c>
      <c r="AA21" s="158" t="str">
        <f>VLOOKUP(B21,Форвард!$C$4:$S$42,17,FALSE)</f>
        <v>21-25</v>
      </c>
      <c r="AB21" s="159">
        <f>VLOOKUP(AA21,Очки!$A$2:$B$111,2,0)</f>
        <v>10</v>
      </c>
      <c r="AC21" s="160">
        <f>VLOOKUP(B21,Форвард!$C$4:$S$42,8,FALSE)</f>
        <v>5</v>
      </c>
      <c r="AD21" s="160">
        <f>VLOOKUP(B21,Форвард!$C$4:$S$42,16,FALSE)</f>
        <v>4</v>
      </c>
      <c r="AE21" s="156">
        <f t="shared" si="11"/>
        <v>4</v>
      </c>
      <c r="AF21" s="161">
        <f t="shared" si="12"/>
        <v>14</v>
      </c>
      <c r="AG21" s="419">
        <f t="shared" si="13"/>
        <v>91.9</v>
      </c>
      <c r="AI21" s="5"/>
      <c r="AL21" s="5"/>
      <c r="AM21" s="5"/>
    </row>
    <row r="22" spans="1:39" ht="13.5" thickBot="1">
      <c r="A22" s="7">
        <v>19</v>
      </c>
      <c r="B22" s="154" t="s">
        <v>86</v>
      </c>
      <c r="C22" s="155" t="str">
        <f>VLOOKUP(B22,'Профи-Опен'!$B$4:$Q$37,16,0)</f>
        <v>17-20</v>
      </c>
      <c r="D22" s="156">
        <f>VLOOKUP(C22,Очки!$A$2:$B$112,2,0)</f>
        <v>14.5</v>
      </c>
      <c r="E22" s="157">
        <f>VLOOKUP(B22,'Профи-Опен'!$B$4:$Q$37,9,0)</f>
        <v>6</v>
      </c>
      <c r="F22" s="157">
        <f>VLOOKUP(B22,'Профи-Опен'!$B$4:$Q$37,15,0)</f>
        <v>5</v>
      </c>
      <c r="G22" s="156">
        <f t="shared" si="8"/>
        <v>4.2</v>
      </c>
      <c r="H22" s="409">
        <f t="shared" si="9"/>
        <v>18.7</v>
      </c>
      <c r="I22" s="158" t="str">
        <f>VLOOKUP(B22,Торпедо!$C$37:$Z$64,24,0)</f>
        <v>13-14</v>
      </c>
      <c r="J22" s="156">
        <f>VLOOKUP(I22,Очки!$A$2:$B$112,2,0)</f>
        <v>19.5</v>
      </c>
      <c r="K22" s="171">
        <f>VLOOKUP(B22,Торпедо!$C$37:$Z$64,15,0)</f>
        <v>12</v>
      </c>
      <c r="L22" s="171">
        <f>VLOOKUP(B22,Торпедо!$C$37:$Z$64,23,0)</f>
        <v>11</v>
      </c>
      <c r="M22" s="180">
        <f t="shared" si="0"/>
        <v>4.6</v>
      </c>
      <c r="N22" s="161">
        <f t="shared" si="1"/>
        <v>24.1</v>
      </c>
      <c r="O22" s="155" t="str">
        <f>VLOOKUP(B22,ФФП!$C$5:$M$44,11,0)</f>
        <v>16-18</v>
      </c>
      <c r="P22" s="156">
        <f>VLOOKUP(O22,Очки!$A$2:$B$112,2,0)</f>
        <v>16</v>
      </c>
      <c r="Q22" s="157">
        <f>VLOOKUP(B22,ФФП!$C$3:$L$44,3,0)</f>
        <v>11</v>
      </c>
      <c r="R22" s="157">
        <f>VLOOKUP(B22,ФФП!$C$3:$M$44,2,0)</f>
        <v>11</v>
      </c>
      <c r="S22" s="156">
        <f t="shared" si="2"/>
        <v>5</v>
      </c>
      <c r="T22" s="409">
        <f t="shared" si="3"/>
        <v>21</v>
      </c>
      <c r="U22" s="155" t="str">
        <f>VLOOKUP(B22,Спартакиада!$B$4:$T$51,19,0)</f>
        <v>21-25</v>
      </c>
      <c r="V22" s="156">
        <f>VLOOKUP(U22,Очки!$A$2:$B$112,2,0)</f>
        <v>10</v>
      </c>
      <c r="W22" s="157">
        <f>VLOOKUP(B22,Спартакиада!$B$4:$T$51,10,0)</f>
        <v>7</v>
      </c>
      <c r="X22" s="157">
        <f>VLOOKUP(B22,Спартакиада!$B$4:$T$51,18,0)</f>
        <v>7</v>
      </c>
      <c r="Y22" s="156">
        <f t="shared" si="4"/>
        <v>5</v>
      </c>
      <c r="Z22" s="409">
        <f t="shared" si="5"/>
        <v>15</v>
      </c>
      <c r="AA22" s="158" t="str">
        <f>VLOOKUP(B22,Форвард!$C$44:$S$66,17,FALSE)</f>
        <v>10-12</v>
      </c>
      <c r="AB22" s="159">
        <f>VLOOKUP(AA22,Очки!$A$2:$B$111,2,0)</f>
        <v>22</v>
      </c>
      <c r="AC22" s="160">
        <f>VLOOKUP(B22,Форвард!$C$4:$S$42,8,FALSE)+VLOOKUP(B22,Форвард!$C$44:$S$66,8,FALSE)</f>
        <v>10</v>
      </c>
      <c r="AD22" s="160">
        <f>VLOOKUP(B22,Форвард!$C$4:$S$42,16,FALSE)+VLOOKUP(B22,Форвард!$C$44:$S$66,16,FALSE)</f>
        <v>9</v>
      </c>
      <c r="AE22" s="156">
        <f t="shared" si="11"/>
        <v>4.5</v>
      </c>
      <c r="AF22" s="161">
        <f t="shared" si="12"/>
        <v>26.5</v>
      </c>
      <c r="AG22" s="419">
        <f t="shared" si="13"/>
        <v>90.30000000000001</v>
      </c>
      <c r="AI22" s="5"/>
      <c r="AL22" s="5"/>
      <c r="AM22" s="5"/>
    </row>
    <row r="23" spans="1:35" ht="13.5" thickBot="1">
      <c r="A23" s="6">
        <v>20</v>
      </c>
      <c r="B23" s="153" t="s">
        <v>178</v>
      </c>
      <c r="C23" s="155">
        <f>VLOOKUP(B23,'Профи-Опен'!$B$40:$Z$55,25,0)</f>
        <v>10</v>
      </c>
      <c r="D23" s="156">
        <f>VLOOKUP(C23,Очки!$A$2:$B$112,2,0)</f>
        <v>23</v>
      </c>
      <c r="E23" s="157">
        <f>VLOOKUP(B23,'Профи-Опен'!$B$4:$Q$37,9,0)++VLOOKUP(B23,'Профи-Опен'!$B$40:$Z$55,18,0)</f>
        <v>21</v>
      </c>
      <c r="F23" s="157">
        <f>VLOOKUP(B23,'Профи-Опен'!$B$4:$Q$37,15,0)++VLOOKUP(B23,'Профи-Опен'!$B$40:$Z$55,24,0)</f>
        <v>22</v>
      </c>
      <c r="G23" s="156">
        <f t="shared" si="8"/>
        <v>5.2</v>
      </c>
      <c r="H23" s="409">
        <f t="shared" si="9"/>
        <v>28.2</v>
      </c>
      <c r="I23" s="158">
        <f>VLOOKUP(B23,Торпедо!$C$5:$U$32,19,0)</f>
        <v>26</v>
      </c>
      <c r="J23" s="156">
        <f>VLOOKUP(I23,Очки!$A$2:$B$112,2,0)</f>
        <v>7</v>
      </c>
      <c r="K23" s="171">
        <f>VLOOKUP(B23,Торпедо!$C$5:$U$32,10,0)+VLOOKUP(B23,Торпедо!$C$37:$Z$64,15,0)</f>
        <v>19</v>
      </c>
      <c r="L23" s="171">
        <f>VLOOKUP(B23,Торпедо!$C$5:$U$32,18,0)+VLOOKUP(B23,Торпедо!$C$37:$Z$64,23,0)</f>
        <v>16</v>
      </c>
      <c r="M23" s="180">
        <f t="shared" si="0"/>
        <v>4.2</v>
      </c>
      <c r="N23" s="161">
        <f t="shared" si="1"/>
        <v>11.2</v>
      </c>
      <c r="O23" s="155">
        <f>VLOOKUP(B23,ФФП!$C$52:$N$63,12,0)</f>
        <v>12</v>
      </c>
      <c r="P23" s="156">
        <f>VLOOKUP(O23,Очки!$A$2:$B$112,2,0)</f>
        <v>21</v>
      </c>
      <c r="Q23" s="157">
        <f>VLOOKUP(B23,ФФП!$C$3:$L$44,3,0)+VLOOKUP(B23,ФФП!$C$52:$N$63,10,0)</f>
        <v>19</v>
      </c>
      <c r="R23" s="157">
        <f>VLOOKUP(B23,ФФП!$C$3:$M$44,2,0)+VLOOKUP(B23,ФФП!$C$52:$N$63,11,0)</f>
        <v>16</v>
      </c>
      <c r="S23" s="156">
        <f t="shared" si="2"/>
        <v>4.2</v>
      </c>
      <c r="T23" s="409">
        <f t="shared" si="3"/>
        <v>25.2</v>
      </c>
      <c r="U23" s="155" t="str">
        <f>VLOOKUP(B23,Спартакиада!$B$4:$T$51,19,0)</f>
        <v>16-20</v>
      </c>
      <c r="V23" s="156">
        <f>VLOOKUP(U23,Очки!$A$2:$B$112,2,0)</f>
        <v>15</v>
      </c>
      <c r="W23" s="157">
        <f>VLOOKUP(B23,Спартакиада!$B$4:$T$51,10,0)</f>
        <v>7</v>
      </c>
      <c r="X23" s="157">
        <f>VLOOKUP(B23,Спартакиада!$B$4:$T$51,18,0)</f>
        <v>7</v>
      </c>
      <c r="Y23" s="156">
        <f t="shared" si="4"/>
        <v>5</v>
      </c>
      <c r="Z23" s="409">
        <f t="shared" si="5"/>
        <v>20</v>
      </c>
      <c r="AA23" s="158" t="str">
        <f>VLOOKUP(B23,Форвард!$C$4:$S$42,17,FALSE)</f>
        <v>26-30</v>
      </c>
      <c r="AB23" s="159">
        <f>VLOOKUP(AA23,Очки!$A$2:$B$111,2,0)</f>
        <v>5</v>
      </c>
      <c r="AC23" s="160">
        <f>VLOOKUP(B23,Форвард!$C$4:$S$42,8,FALSE)</f>
        <v>5</v>
      </c>
      <c r="AD23" s="160">
        <f>VLOOKUP(B23,Форвард!$C$4:$S$42,16,FALSE)</f>
        <v>1</v>
      </c>
      <c r="AE23" s="156">
        <f t="shared" si="11"/>
        <v>1</v>
      </c>
      <c r="AF23" s="161">
        <f t="shared" si="12"/>
        <v>6</v>
      </c>
      <c r="AG23" s="419">
        <f t="shared" si="13"/>
        <v>84.6</v>
      </c>
      <c r="AI23" s="5"/>
    </row>
    <row r="24" spans="1:35" ht="13.5" thickBot="1">
      <c r="A24" s="7">
        <v>21</v>
      </c>
      <c r="B24" s="154" t="s">
        <v>134</v>
      </c>
      <c r="C24" s="155" t="str">
        <f>VLOOKUP(B24,'Профи-Опен'!$B$4:$Q$37,16,0)</f>
        <v>25-28</v>
      </c>
      <c r="D24" s="156">
        <f>VLOOKUP(C24,Очки!$A$2:$B$112,2,0)</f>
        <v>6.5</v>
      </c>
      <c r="E24" s="157">
        <f>VLOOKUP(B24,'Профи-Опен'!$B$4:$Q$37,9,0)</f>
        <v>6</v>
      </c>
      <c r="F24" s="157">
        <f>VLOOKUP(B24,'Профи-Опен'!$B$4:$Q$37,15,0)</f>
        <v>4</v>
      </c>
      <c r="G24" s="156">
        <f t="shared" si="8"/>
        <v>3.3</v>
      </c>
      <c r="H24" s="409">
        <f t="shared" si="9"/>
        <v>9.8</v>
      </c>
      <c r="I24" s="158" t="str">
        <f>VLOOKUP(B24,Торпедо!$C$37:$Z$64,24,0)</f>
        <v>15-16</v>
      </c>
      <c r="J24" s="156">
        <f>VLOOKUP(I24,Очки!$A$2:$B$112,2,0)</f>
        <v>17.5</v>
      </c>
      <c r="K24" s="171">
        <f>VLOOKUP(B24,Торпедо!$C$37:$Z$64,15,0)</f>
        <v>12</v>
      </c>
      <c r="L24" s="171">
        <f>VLOOKUP(B24,Торпедо!$C$37:$Z$64,23,0)</f>
        <v>11</v>
      </c>
      <c r="M24" s="180">
        <f t="shared" si="0"/>
        <v>4.6</v>
      </c>
      <c r="N24" s="161">
        <f t="shared" si="1"/>
        <v>22.1</v>
      </c>
      <c r="O24" s="155" t="str">
        <f>VLOOKUP(B24,ФФП!$C$5:$M$44,11,0)</f>
        <v>22-24</v>
      </c>
      <c r="P24" s="156">
        <f>VLOOKUP(O24,Очки!$A$2:$B$112,2,0)</f>
        <v>10</v>
      </c>
      <c r="Q24" s="157">
        <f>VLOOKUP(B24,ФФП!$C$3:$L$44,3,0)</f>
        <v>11</v>
      </c>
      <c r="R24" s="157">
        <f>VLOOKUP(B24,ФФП!$C$3:$M$44,2,0)</f>
        <v>11</v>
      </c>
      <c r="S24" s="156">
        <f t="shared" si="2"/>
        <v>5</v>
      </c>
      <c r="T24" s="409">
        <f t="shared" si="3"/>
        <v>15</v>
      </c>
      <c r="U24" s="155" t="str">
        <f>VLOOKUP(B24,Спартакиада!$B$4:$T$51,19,0)</f>
        <v>21-25</v>
      </c>
      <c r="V24" s="156">
        <f>VLOOKUP(U24,Очки!$A$2:$B$112,2,0)</f>
        <v>10</v>
      </c>
      <c r="W24" s="157">
        <f>VLOOKUP(B24,Спартакиада!$B$4:$T$51,10,0)</f>
        <v>7</v>
      </c>
      <c r="X24" s="157">
        <f>VLOOKUP(B24,Спартакиада!$B$4:$T$51,18,0)</f>
        <v>8</v>
      </c>
      <c r="Y24" s="156">
        <f t="shared" si="4"/>
        <v>5.7</v>
      </c>
      <c r="Z24" s="409">
        <f t="shared" si="5"/>
        <v>15.7</v>
      </c>
      <c r="AA24" s="158" t="str">
        <f>VLOOKUP(B24,Форвард!$C$44:$S$66,17,FALSE)</f>
        <v>7-9</v>
      </c>
      <c r="AB24" s="159">
        <f>VLOOKUP(AA24,Очки!$A$2:$B$111,2,0)</f>
        <v>26</v>
      </c>
      <c r="AC24" s="160">
        <f>VLOOKUP(B24,Форвард!$C$4:$S$42,8,FALSE)+VLOOKUP(B24,Форвард!$C$44:$S$66,8,FALSE)</f>
        <v>10</v>
      </c>
      <c r="AD24" s="160">
        <f>VLOOKUP(B24,Форвард!$C$4:$S$42,16,FALSE)+VLOOKUP(B24,Форвард!$C$44:$S$66,16,FALSE)</f>
        <v>10</v>
      </c>
      <c r="AE24" s="156">
        <f t="shared" si="11"/>
        <v>5</v>
      </c>
      <c r="AF24" s="161">
        <f t="shared" si="12"/>
        <v>31</v>
      </c>
      <c r="AG24" s="419">
        <f t="shared" si="13"/>
        <v>83.80000000000001</v>
      </c>
      <c r="AI24" s="5"/>
    </row>
    <row r="25" spans="1:35" ht="13.5" thickBot="1">
      <c r="A25" s="6">
        <v>22</v>
      </c>
      <c r="B25" s="153" t="s">
        <v>64</v>
      </c>
      <c r="C25" s="155"/>
      <c r="D25" s="156"/>
      <c r="E25" s="157"/>
      <c r="F25" s="157"/>
      <c r="G25" s="156"/>
      <c r="H25" s="409"/>
      <c r="I25" s="158">
        <f>VLOOKUP(B25,Торпедо!$C$69:$W$76,21,0)</f>
        <v>6</v>
      </c>
      <c r="J25" s="156">
        <f>VLOOKUP(I25,Очки!$A$2:$B$112,2,0)</f>
        <v>30</v>
      </c>
      <c r="K25" s="171">
        <f>VLOOKUP(B25,Торпедо!$C$37:$Z$64,15,0)+VLOOKUP(B25,Торпедо!$C$69:$W$76,12,0)</f>
        <v>16</v>
      </c>
      <c r="L25" s="171">
        <f>VLOOKUP(B25,Торпедо!$C$37:$Z$64,23,0)+VLOOKUP(B25,Торпедо!$C$69:$W$76,20,0)</f>
        <v>20</v>
      </c>
      <c r="M25" s="180">
        <f t="shared" si="0"/>
        <v>6.3</v>
      </c>
      <c r="N25" s="161">
        <f t="shared" si="1"/>
        <v>36.3</v>
      </c>
      <c r="O25" s="155">
        <f>VLOOKUP(B25,ФФП!$C$52:$N$63,12,0)</f>
        <v>9</v>
      </c>
      <c r="P25" s="156">
        <f>VLOOKUP(O25,Очки!$A$2:$B$112,2,0)</f>
        <v>24</v>
      </c>
      <c r="Q25" s="157">
        <f>VLOOKUP(B25,ФФП!$C$3:$L$44,3,0)+VLOOKUP(B25,ФФП!$C$52:$N$63,10,0)</f>
        <v>20</v>
      </c>
      <c r="R25" s="157">
        <f>VLOOKUP(B25,ФФП!$C$3:$M$44,2,0)+VLOOKUP(B25,ФФП!$C$52:$N$63,11,0)</f>
        <v>23</v>
      </c>
      <c r="S25" s="156">
        <f t="shared" si="2"/>
        <v>5.8</v>
      </c>
      <c r="T25" s="409">
        <f t="shared" si="3"/>
        <v>29.8</v>
      </c>
      <c r="U25" s="155" t="str">
        <f>VLOOKUP(B25,Спартакиада!$B$4:$T$51,19,0)</f>
        <v>21-25</v>
      </c>
      <c r="V25" s="156">
        <f>VLOOKUP(U25,Очки!$A$2:$B$112,2,0)</f>
        <v>10</v>
      </c>
      <c r="W25" s="157">
        <f>VLOOKUP(B25,Спартакиада!$B$4:$T$51,10,0)</f>
        <v>7</v>
      </c>
      <c r="X25" s="157">
        <f>VLOOKUP(B25,Спартакиада!$B$4:$T$51,18,0)</f>
        <v>6</v>
      </c>
      <c r="Y25" s="156">
        <f t="shared" si="4"/>
        <v>4.3</v>
      </c>
      <c r="Z25" s="409">
        <f t="shared" si="5"/>
        <v>14.3</v>
      </c>
      <c r="AA25" s="158"/>
      <c r="AB25" s="159"/>
      <c r="AC25" s="160"/>
      <c r="AD25" s="160"/>
      <c r="AE25" s="156"/>
      <c r="AF25" s="161"/>
      <c r="AG25" s="419">
        <f>H25+T25+N25+Z25</f>
        <v>80.39999999999999</v>
      </c>
      <c r="AI25" s="5"/>
    </row>
    <row r="26" spans="1:35" ht="13.5" thickBot="1">
      <c r="A26" s="7">
        <v>23</v>
      </c>
      <c r="B26" s="153" t="s">
        <v>129</v>
      </c>
      <c r="C26" s="155"/>
      <c r="D26" s="156"/>
      <c r="E26" s="157"/>
      <c r="F26" s="157"/>
      <c r="G26" s="156"/>
      <c r="H26" s="409"/>
      <c r="I26" s="158">
        <f>VLOOKUP(B26,Торпедо!$C$5:$U$32,19,0)</f>
        <v>26</v>
      </c>
      <c r="J26" s="156">
        <f>VLOOKUP(I26,Очки!$A$2:$B$112,2,0)</f>
        <v>7</v>
      </c>
      <c r="K26" s="171">
        <f>VLOOKUP(B26,Торпедо!$C$5:$U$32,10,0)+VLOOKUP(B26,Торпедо!$C$37:$Z$64,15,0)</f>
        <v>19</v>
      </c>
      <c r="L26" s="171">
        <f>VLOOKUP(B26,Торпедо!$C$5:$U$32,18,0)+VLOOKUP(B26,Торпедо!$C$37:$Z$64,23,0)</f>
        <v>19</v>
      </c>
      <c r="M26" s="180">
        <f t="shared" si="0"/>
        <v>5</v>
      </c>
      <c r="N26" s="161">
        <f t="shared" si="1"/>
        <v>12</v>
      </c>
      <c r="O26" s="155" t="str">
        <f>VLOOKUP(B26,ФФП!$C$5:$M$44,11,0)</f>
        <v>16-18</v>
      </c>
      <c r="P26" s="156">
        <f>VLOOKUP(O26,Очки!$A$2:$B$112,2,0)</f>
        <v>16</v>
      </c>
      <c r="Q26" s="157">
        <f>VLOOKUP(B26,ФФП!$C$3:$L$44,3,0)</f>
        <v>11</v>
      </c>
      <c r="R26" s="157">
        <f>VLOOKUP(B26,ФФП!$C$3:$M$44,2,0)</f>
        <v>11</v>
      </c>
      <c r="S26" s="156">
        <f t="shared" si="2"/>
        <v>5</v>
      </c>
      <c r="T26" s="409">
        <f t="shared" si="3"/>
        <v>21</v>
      </c>
      <c r="U26" s="155" t="str">
        <f>VLOOKUP(B26,Спартакиада!$B$4:$T$51,19,0)</f>
        <v>21-25</v>
      </c>
      <c r="V26" s="156">
        <f>VLOOKUP(U26,Очки!$A$2:$B$112,2,0)</f>
        <v>10</v>
      </c>
      <c r="W26" s="157">
        <f>VLOOKUP(B26,Спартакиада!$B$4:$T$51,10,0)</f>
        <v>7</v>
      </c>
      <c r="X26" s="157">
        <f>VLOOKUP(B26,Спартакиада!$B$4:$T$51,18,0)</f>
        <v>7</v>
      </c>
      <c r="Y26" s="156">
        <f t="shared" si="4"/>
        <v>5</v>
      </c>
      <c r="Z26" s="409">
        <f t="shared" si="5"/>
        <v>15</v>
      </c>
      <c r="AA26" s="158" t="str">
        <f>VLOOKUP(B26,Форвард!$C$44:$S$66,17,FALSE)</f>
        <v>10-12</v>
      </c>
      <c r="AB26" s="159">
        <f>VLOOKUP(AA26,Очки!$A$2:$B$111,2,0)</f>
        <v>22</v>
      </c>
      <c r="AC26" s="160">
        <f>VLOOKUP(B26,Форвард!$C$4:$S$42,8,FALSE)+VLOOKUP(B26,Форвард!$C$44:$S$66,8,FALSE)</f>
        <v>10</v>
      </c>
      <c r="AD26" s="160">
        <f>VLOOKUP(B26,Форвард!$C$4:$S$42,16,FALSE)+VLOOKUP(B26,Форвард!$C$44:$S$66,16,FALSE)</f>
        <v>8</v>
      </c>
      <c r="AE26" s="156">
        <f aca="true" t="shared" si="14" ref="AE26:AE33">ROUND(10*AD26/(AC26*2),1)</f>
        <v>4</v>
      </c>
      <c r="AF26" s="161">
        <f aca="true" t="shared" si="15" ref="AF26:AF33">AB26+AE26</f>
        <v>26</v>
      </c>
      <c r="AG26" s="419">
        <f>H26+T26+N26+Z26+AF26</f>
        <v>74</v>
      </c>
      <c r="AI26" s="5"/>
    </row>
    <row r="27" spans="1:33" ht="13.5" thickBot="1">
      <c r="A27" s="6">
        <v>24</v>
      </c>
      <c r="B27" s="193" t="s">
        <v>127</v>
      </c>
      <c r="C27" s="155">
        <f>VLOOKUP(B27,'Профи-Опен'!$B$40:$Z$55,25,0)</f>
        <v>8</v>
      </c>
      <c r="D27" s="156">
        <f>VLOOKUP(C27,Очки!$A$2:$B$112,2,0)</f>
        <v>26</v>
      </c>
      <c r="E27" s="157">
        <f>VLOOKUP(B27,'Профи-Опен'!$B$4:$Q$37,9,0)++VLOOKUP(B27,'Профи-Опен'!$B$40:$Z$55,18,0)</f>
        <v>21</v>
      </c>
      <c r="F27" s="157">
        <f>VLOOKUP(B27,'Профи-Опен'!$B$4:$Q$37,15,0)++VLOOKUP(B27,'Профи-Опен'!$B$40:$Z$55,24,0)</f>
        <v>21</v>
      </c>
      <c r="G27" s="156">
        <f>ROUND(10*F27/(E27*2),1)</f>
        <v>5</v>
      </c>
      <c r="H27" s="409">
        <f>D27+G27</f>
        <v>31</v>
      </c>
      <c r="I27" s="158">
        <f>VLOOKUP(B27,Торпедо!$C$5:$U$32,19,0)</f>
        <v>26</v>
      </c>
      <c r="J27" s="156">
        <f>VLOOKUP(I27,Очки!$A$2:$B$112,2,0)</f>
        <v>7</v>
      </c>
      <c r="K27" s="171">
        <f>VLOOKUP(B27,Торпедо!$C$5:$U$32,10,0)+VLOOKUP(B27,Торпедо!$C$37:$Z$64,15,0)</f>
        <v>19</v>
      </c>
      <c r="L27" s="171">
        <f>VLOOKUP(B27,Торпедо!$C$5:$U$32,18,0)+VLOOKUP(B27,Торпедо!$C$37:$Z$64,23,0)</f>
        <v>14</v>
      </c>
      <c r="M27" s="180">
        <f t="shared" si="0"/>
        <v>3.7</v>
      </c>
      <c r="N27" s="161">
        <f t="shared" si="1"/>
        <v>10.7</v>
      </c>
      <c r="O27" s="155" t="str">
        <f>VLOOKUP(B27,ФФП!$C$5:$M$44,11,0)</f>
        <v>28-30</v>
      </c>
      <c r="P27" s="156">
        <f>VLOOKUP(O27,Очки!$A$2:$B$112,2,0)</f>
        <v>4</v>
      </c>
      <c r="Q27" s="157">
        <f>VLOOKUP(B27,ФФП!$C$3:$L$44,3,0)</f>
        <v>11</v>
      </c>
      <c r="R27" s="157">
        <f>VLOOKUP(B27,ФФП!$C$3:$M$44,2,0)</f>
        <v>9</v>
      </c>
      <c r="S27" s="156">
        <f t="shared" si="2"/>
        <v>4.1</v>
      </c>
      <c r="T27" s="409">
        <f t="shared" si="3"/>
        <v>8.1</v>
      </c>
      <c r="U27" s="155" t="str">
        <f>VLOOKUP(B27,Спартакиада!$B$4:$T$51,19,0)</f>
        <v>36-40</v>
      </c>
      <c r="V27" s="156">
        <f>VLOOKUP(U27,Очки!$A$2:$B$112,2,0)</f>
        <v>0</v>
      </c>
      <c r="W27" s="157">
        <f>VLOOKUP(B27,Спартакиада!$B$4:$T$51,10,0)</f>
        <v>7</v>
      </c>
      <c r="X27" s="157">
        <f>VLOOKUP(B27,Спартакиада!$B$4:$T$51,18,0)</f>
        <v>2</v>
      </c>
      <c r="Y27" s="156">
        <f t="shared" si="4"/>
        <v>1.4</v>
      </c>
      <c r="Z27" s="409">
        <f t="shared" si="5"/>
        <v>1.4</v>
      </c>
      <c r="AA27" s="158" t="str">
        <f>VLOOKUP(B27,Форвард!$C$44:$S$66,17,FALSE)</f>
        <v>16-18</v>
      </c>
      <c r="AB27" s="159">
        <f>VLOOKUP(AA27,Очки!$A$2:$B$111,2,0)</f>
        <v>16</v>
      </c>
      <c r="AC27" s="160">
        <f>VLOOKUP(B27,Форвард!$C$4:$S$42,8,FALSE)+VLOOKUP(B27,Форвард!$C$44:$S$66,8,FALSE)</f>
        <v>10</v>
      </c>
      <c r="AD27" s="160">
        <f>VLOOKUP(B27,Форвард!$C$4:$S$42,16,FALSE)+VLOOKUP(B27,Форвард!$C$44:$S$66,16,FALSE)</f>
        <v>13</v>
      </c>
      <c r="AE27" s="156">
        <f t="shared" si="14"/>
        <v>6.5</v>
      </c>
      <c r="AF27" s="161">
        <f t="shared" si="15"/>
        <v>22.5</v>
      </c>
      <c r="AG27" s="419">
        <f>H27+T27+N27+Z27+AF27-MIN(H27,N27,T27,Z27,AF27)</f>
        <v>72.29999999999998</v>
      </c>
    </row>
    <row r="28" spans="1:34" ht="13.5" thickBot="1">
      <c r="A28" s="7">
        <v>25</v>
      </c>
      <c r="B28" s="417" t="s">
        <v>11</v>
      </c>
      <c r="C28" s="155">
        <f>VLOOKUP(B28,'Профи-Опен'!$B$40:$Z$55,25,0)</f>
        <v>6</v>
      </c>
      <c r="D28" s="156">
        <f>VLOOKUP(C28,Очки!$A$2:$B$112,2,0)</f>
        <v>30</v>
      </c>
      <c r="E28" s="157">
        <f>VLOOKUP(B28,'Профи-Опен'!$B$4:$Q$37,9,0)++VLOOKUP(B28,'Профи-Опен'!$B$40:$Z$55,18,0)</f>
        <v>21</v>
      </c>
      <c r="F28" s="157">
        <f>VLOOKUP(B28,'Профи-Опен'!$B$4:$Q$37,15,0)++VLOOKUP(B28,'Профи-Опен'!$B$40:$Z$55,24,0)</f>
        <v>24</v>
      </c>
      <c r="G28" s="156">
        <f>ROUND(10*F28/(E28*2),1)</f>
        <v>5.7</v>
      </c>
      <c r="H28" s="409">
        <f>D28+G28</f>
        <v>35.7</v>
      </c>
      <c r="I28" s="158">
        <f>VLOOKUP(B28,Торпедо!$C$5:$U$32,19,0)</f>
        <v>26</v>
      </c>
      <c r="J28" s="156">
        <f>VLOOKUP(I28,Очки!$A$2:$B$112,2,0)</f>
        <v>7</v>
      </c>
      <c r="K28" s="171">
        <f>VLOOKUP(B28,Торпедо!$C$5:$U$32,10,0)+VLOOKUP(B28,Торпедо!$C$37:$Z$64,15,0)</f>
        <v>18</v>
      </c>
      <c r="L28" s="171">
        <f>VLOOKUP(B28,Торпедо!$C$5:$U$32,18,0)+VLOOKUP(B28,Торпедо!$C$37:$Z$64,23,0)</f>
        <v>19</v>
      </c>
      <c r="M28" s="180">
        <f t="shared" si="0"/>
        <v>5.3</v>
      </c>
      <c r="N28" s="161">
        <f t="shared" si="1"/>
        <v>12.3</v>
      </c>
      <c r="O28" s="155" t="str">
        <f>VLOOKUP(B28,ФФП!$C$5:$M$44,11,0)</f>
        <v>28-30</v>
      </c>
      <c r="P28" s="156">
        <f>VLOOKUP(O28,Очки!$A$2:$B$112,2,0)</f>
        <v>4</v>
      </c>
      <c r="Q28" s="157">
        <f>VLOOKUP(B28,ФФП!$C$3:$L$44,3,0)</f>
        <v>11</v>
      </c>
      <c r="R28" s="157">
        <f>VLOOKUP(B28,ФФП!$C$3:$M$44,2,0)</f>
        <v>8</v>
      </c>
      <c r="S28" s="156">
        <f t="shared" si="2"/>
        <v>3.6</v>
      </c>
      <c r="T28" s="409">
        <f t="shared" si="3"/>
        <v>7.6</v>
      </c>
      <c r="U28" s="155" t="str">
        <f>VLOOKUP(B28,Спартакиада!$B$4:$T$51,19,0)</f>
        <v>26-30</v>
      </c>
      <c r="V28" s="156">
        <f>VLOOKUP(U28,Очки!$A$2:$B$112,2,0)</f>
        <v>5</v>
      </c>
      <c r="W28" s="157">
        <f>VLOOKUP(B28,Спартакиада!$B$4:$T$51,10,0)</f>
        <v>7</v>
      </c>
      <c r="X28" s="157">
        <f>VLOOKUP(B28,Спартакиада!$B$4:$T$51,18,0)</f>
        <v>4</v>
      </c>
      <c r="Y28" s="156">
        <f t="shared" si="4"/>
        <v>2.9</v>
      </c>
      <c r="Z28" s="409">
        <f t="shared" si="5"/>
        <v>7.9</v>
      </c>
      <c r="AA28" s="158" t="str">
        <f>VLOOKUP(B28,Форвард!$C$4:$S$42,17,FALSE)</f>
        <v>21-25</v>
      </c>
      <c r="AB28" s="159">
        <f>VLOOKUP(AA28,Очки!$A$2:$B$111,2,0)</f>
        <v>10</v>
      </c>
      <c r="AC28" s="160">
        <f>VLOOKUP(B28,Форвард!$C$4:$S$42,8,FALSE)</f>
        <v>5</v>
      </c>
      <c r="AD28" s="160">
        <f>VLOOKUP(B28,Форвард!$C$4:$S$42,16,FALSE)</f>
        <v>4</v>
      </c>
      <c r="AE28" s="156">
        <f t="shared" si="14"/>
        <v>4</v>
      </c>
      <c r="AF28" s="161">
        <f t="shared" si="15"/>
        <v>14</v>
      </c>
      <c r="AG28" s="419">
        <f>H28+T28+N28+Z28+AF28-MIN(H28,N28,T28,Z28,AF28)</f>
        <v>69.9</v>
      </c>
      <c r="AH28" s="5"/>
    </row>
    <row r="29" spans="1:33" ht="13.5" thickBot="1">
      <c r="A29" s="6">
        <v>26</v>
      </c>
      <c r="B29" s="193" t="s">
        <v>200</v>
      </c>
      <c r="C29" s="155" t="str">
        <f>VLOOKUP(B29,'Профи-Опен'!$B$4:$Q$37,16,0)</f>
        <v>21-24</v>
      </c>
      <c r="D29" s="156">
        <f>VLOOKUP(C29,Очки!$A$2:$B$112,2,0)</f>
        <v>10.5</v>
      </c>
      <c r="E29" s="157">
        <f>VLOOKUP(B29,'Профи-Опен'!$B$4:$Q$37,9,0)</f>
        <v>6</v>
      </c>
      <c r="F29" s="157">
        <f>VLOOKUP(B29,'Профи-Опен'!$B$4:$Q$37,15,0)</f>
        <v>4</v>
      </c>
      <c r="G29" s="156">
        <f>ROUND(10*F29/(E29*2),1)</f>
        <v>3.3</v>
      </c>
      <c r="H29" s="409">
        <f>D29+G29</f>
        <v>13.8</v>
      </c>
      <c r="I29" s="158" t="str">
        <f>VLOOKUP(B29,Торпедо!$C$5:$U$32,19,0)</f>
        <v>30-32</v>
      </c>
      <c r="J29" s="156">
        <f>VLOOKUP(I29,Очки!$A$2:$B$112,2,0)</f>
        <v>2</v>
      </c>
      <c r="K29" s="171">
        <f>VLOOKUP(B29,Торпедо!$C$5:$U$32,10,0)</f>
        <v>7</v>
      </c>
      <c r="L29" s="171">
        <f>VLOOKUP(B29,Торпедо!$C$5:$U$32,18,0)</f>
        <v>5</v>
      </c>
      <c r="M29" s="180">
        <f t="shared" si="0"/>
        <v>3.6</v>
      </c>
      <c r="N29" s="161">
        <f t="shared" si="1"/>
        <v>5.6</v>
      </c>
      <c r="O29" s="155" t="str">
        <f>VLOOKUP(B29,ФФП!$C$5:$M$44,11,0)</f>
        <v>25-27</v>
      </c>
      <c r="P29" s="156">
        <f>VLOOKUP(O29,Очки!$A$2:$B$112,2,0)</f>
        <v>7</v>
      </c>
      <c r="Q29" s="157">
        <f>VLOOKUP(B29,ФФП!$C$3:$L$44,3,0)</f>
        <v>11</v>
      </c>
      <c r="R29" s="157">
        <f>VLOOKUP(B29,ФФП!$C$3:$M$44,2,0)</f>
        <v>9</v>
      </c>
      <c r="S29" s="156">
        <f t="shared" si="2"/>
        <v>4.1</v>
      </c>
      <c r="T29" s="409">
        <f t="shared" si="3"/>
        <v>11.1</v>
      </c>
      <c r="U29" s="155" t="str">
        <f>VLOOKUP(B29,Спартакиада!$B$4:$T$51,19,0)</f>
        <v>16-20</v>
      </c>
      <c r="V29" s="156">
        <f>VLOOKUP(U29,Очки!$A$2:$B$112,2,0)</f>
        <v>15</v>
      </c>
      <c r="W29" s="157">
        <f>VLOOKUP(B29,Спартакиада!$B$4:$T$51,10,0)</f>
        <v>7</v>
      </c>
      <c r="X29" s="157">
        <f>VLOOKUP(B29,Спартакиада!$B$4:$T$51,18,0)</f>
        <v>8</v>
      </c>
      <c r="Y29" s="156">
        <f t="shared" si="4"/>
        <v>5.7</v>
      </c>
      <c r="Z29" s="409">
        <f t="shared" si="5"/>
        <v>20.7</v>
      </c>
      <c r="AA29" s="158" t="str">
        <f>VLOOKUP(B29,Форвард!$C$44:$S$66,17,FALSE)</f>
        <v>13-15</v>
      </c>
      <c r="AB29" s="159">
        <f>VLOOKUP(AA29,Очки!$A$2:$B$111,2,0)</f>
        <v>19</v>
      </c>
      <c r="AC29" s="160">
        <f>VLOOKUP(B29,Форвард!$C$4:$S$42,8,FALSE)+VLOOKUP(B29,Форвард!$C$44:$S$66,8,FALSE)</f>
        <v>10</v>
      </c>
      <c r="AD29" s="160">
        <f>VLOOKUP(B29,Форвард!$C$4:$S$42,16,FALSE)+VLOOKUP(B29,Форвард!$C$44:$S$66,16,FALSE)</f>
        <v>7</v>
      </c>
      <c r="AE29" s="156">
        <f t="shared" si="14"/>
        <v>3.5</v>
      </c>
      <c r="AF29" s="161">
        <f t="shared" si="15"/>
        <v>22.5</v>
      </c>
      <c r="AG29" s="419">
        <f>H29+T29+N29+Z29+AF29-MIN(H29,N29,T29,Z29,AF29)</f>
        <v>68.10000000000001</v>
      </c>
    </row>
    <row r="30" spans="1:35" ht="13.5" thickBot="1">
      <c r="A30" s="7">
        <v>27</v>
      </c>
      <c r="B30" s="451" t="s">
        <v>14</v>
      </c>
      <c r="C30" s="155"/>
      <c r="D30" s="156"/>
      <c r="E30" s="157"/>
      <c r="F30" s="157"/>
      <c r="G30" s="156"/>
      <c r="H30" s="409"/>
      <c r="I30" s="158">
        <f>VLOOKUP(B30,Торпедо!$C$5:$U$32,19,0)</f>
        <v>26</v>
      </c>
      <c r="J30" s="156">
        <f>VLOOKUP(I30,Очки!$A$2:$B$112,2,0)</f>
        <v>7</v>
      </c>
      <c r="K30" s="171">
        <f>VLOOKUP(B30,Торпедо!$C$5:$U$32,10,0)+VLOOKUP(B30,Торпедо!$C$37:$Z$64,15,0)</f>
        <v>19</v>
      </c>
      <c r="L30" s="171">
        <f>VLOOKUP(B30,Торпедо!$C$5:$U$32,18,0)+VLOOKUP(B30,Торпедо!$C$37:$Z$64,23,0)</f>
        <v>19</v>
      </c>
      <c r="M30" s="180">
        <f t="shared" si="0"/>
        <v>5</v>
      </c>
      <c r="N30" s="161">
        <f t="shared" si="1"/>
        <v>12</v>
      </c>
      <c r="O30" s="155">
        <f>VLOOKUP(B30,ФФП!$C$52:$N$63,12,0)</f>
        <v>3</v>
      </c>
      <c r="P30" s="156">
        <f>VLOOKUP(O30,Очки!$A$2:$B$112,2,0)</f>
        <v>37</v>
      </c>
      <c r="Q30" s="157">
        <f>VLOOKUP(B30,ФФП!$C$3:$L$44,3,0)+VLOOKUP(B30,ФФП!$C$52:$N$63,10,0)</f>
        <v>19</v>
      </c>
      <c r="R30" s="157">
        <f>VLOOKUP(B30,ФФП!$C$3:$M$44,2,0)+VLOOKUP(B30,ФФП!$C$52:$N$63,11,0)</f>
        <v>23</v>
      </c>
      <c r="S30" s="156">
        <f t="shared" si="2"/>
        <v>6.1</v>
      </c>
      <c r="T30" s="409">
        <f t="shared" si="3"/>
        <v>43.1</v>
      </c>
      <c r="U30" s="155" t="str">
        <f>VLOOKUP(B30,Спартакиада!$B$4:$T$51,19,0)</f>
        <v>36-40</v>
      </c>
      <c r="V30" s="156">
        <f>VLOOKUP(U30,Очки!$A$2:$B$112,2,0)</f>
        <v>0</v>
      </c>
      <c r="W30" s="157">
        <f>VLOOKUP(B30,Спартакиада!$B$4:$T$51,10,0)</f>
        <v>7</v>
      </c>
      <c r="X30" s="157">
        <f>VLOOKUP(B30,Спартакиада!$B$4:$T$51,18,0)</f>
        <v>4</v>
      </c>
      <c r="Y30" s="156">
        <f t="shared" si="4"/>
        <v>2.9</v>
      </c>
      <c r="Z30" s="409">
        <f t="shared" si="5"/>
        <v>2.9</v>
      </c>
      <c r="AA30" s="158" t="str">
        <f>VLOOKUP(B30,Форвард!$C$4:$S$42,17,FALSE)</f>
        <v>26-30</v>
      </c>
      <c r="AB30" s="159">
        <f>VLOOKUP(AA30,Очки!$A$2:$B$111,2,0)</f>
        <v>5</v>
      </c>
      <c r="AC30" s="160">
        <f>VLOOKUP(B30,Форвард!$C$4:$S$42,8,FALSE)</f>
        <v>5</v>
      </c>
      <c r="AD30" s="160">
        <f>VLOOKUP(B30,Форвард!$C$4:$S$42,16,FALSE)</f>
        <v>2</v>
      </c>
      <c r="AE30" s="156">
        <f t="shared" si="14"/>
        <v>2</v>
      </c>
      <c r="AF30" s="161">
        <f t="shared" si="15"/>
        <v>7</v>
      </c>
      <c r="AG30" s="419">
        <f>H30+T30+N30+Z30+AF30</f>
        <v>65</v>
      </c>
      <c r="AI30" s="42"/>
    </row>
    <row r="31" spans="1:33" ht="13.5" thickBot="1">
      <c r="A31" s="6">
        <v>28</v>
      </c>
      <c r="B31" s="417" t="s">
        <v>18</v>
      </c>
      <c r="C31" s="155"/>
      <c r="D31" s="156"/>
      <c r="E31" s="157"/>
      <c r="F31" s="157"/>
      <c r="G31" s="156"/>
      <c r="H31" s="409"/>
      <c r="I31" s="158" t="str">
        <f>VLOOKUP(B31,Торпедо!$C$5:$U$32,19,0)</f>
        <v>36-37</v>
      </c>
      <c r="J31" s="156">
        <f>VLOOKUP(I31,Очки!$A$2:$B$112,2,0)</f>
        <v>0</v>
      </c>
      <c r="K31" s="171">
        <f>VLOOKUP(B31,Торпедо!$C$5:$U$32,10,0)</f>
        <v>7</v>
      </c>
      <c r="L31" s="171">
        <f>VLOOKUP(B31,Торпедо!$C$5:$U$32,18,0)</f>
        <v>5</v>
      </c>
      <c r="M31" s="180">
        <f t="shared" si="0"/>
        <v>3.6</v>
      </c>
      <c r="N31" s="161">
        <f t="shared" si="1"/>
        <v>3.6</v>
      </c>
      <c r="O31" s="155">
        <f>VLOOKUP(B31,ФФП!$C$52:$N$63,12,0)</f>
        <v>8</v>
      </c>
      <c r="P31" s="156">
        <f>VLOOKUP(O31,Очки!$A$2:$B$112,2,0)</f>
        <v>26</v>
      </c>
      <c r="Q31" s="157">
        <f>VLOOKUP(B31,ФФП!$C$3:$L$44,3,0)+VLOOKUP(B31,ФФП!$C$52:$N$63,10,0)</f>
        <v>19</v>
      </c>
      <c r="R31" s="157">
        <f>VLOOKUP(B31,ФФП!$C$3:$M$44,2,0)+VLOOKUP(B31,ФФП!$C$52:$N$63,11,0)</f>
        <v>22</v>
      </c>
      <c r="S31" s="156">
        <f t="shared" si="2"/>
        <v>5.8</v>
      </c>
      <c r="T31" s="409">
        <f t="shared" si="3"/>
        <v>31.8</v>
      </c>
      <c r="U31" s="155" t="str">
        <f>VLOOKUP(B31,Спартакиада!$B$4:$T$51,19,0)</f>
        <v>21-25</v>
      </c>
      <c r="V31" s="156">
        <f>VLOOKUP(U31,Очки!$A$2:$B$112,2,0)</f>
        <v>10</v>
      </c>
      <c r="W31" s="157">
        <f>VLOOKUP(B31,Спартакиада!$B$4:$T$51,10,0)</f>
        <v>7</v>
      </c>
      <c r="X31" s="157">
        <f>VLOOKUP(B31,Спартакиада!$B$4:$T$51,18,0)</f>
        <v>6</v>
      </c>
      <c r="Y31" s="156">
        <f t="shared" si="4"/>
        <v>4.3</v>
      </c>
      <c r="Z31" s="409">
        <f t="shared" si="5"/>
        <v>14.3</v>
      </c>
      <c r="AA31" s="158" t="str">
        <f>VLOOKUP(B31,Форвард!$C$4:$S$42,17,FALSE)</f>
        <v>21-25</v>
      </c>
      <c r="AB31" s="159">
        <f>VLOOKUP(AA31,Очки!$A$2:$B$111,2,0)</f>
        <v>10</v>
      </c>
      <c r="AC31" s="160">
        <f>VLOOKUP(B31,Форвард!$C$4:$S$42,8,FALSE)</f>
        <v>5</v>
      </c>
      <c r="AD31" s="160">
        <f>VLOOKUP(B31,Форвард!$C$4:$S$42,16,FALSE)</f>
        <v>4</v>
      </c>
      <c r="AE31" s="156">
        <f t="shared" si="14"/>
        <v>4</v>
      </c>
      <c r="AF31" s="161">
        <f t="shared" si="15"/>
        <v>14</v>
      </c>
      <c r="AG31" s="419">
        <f>H31+T31+N31+Z31+AF31</f>
        <v>63.7</v>
      </c>
    </row>
    <row r="32" spans="1:33" ht="13.5" thickBot="1">
      <c r="A32" s="7">
        <v>29</v>
      </c>
      <c r="B32" s="193" t="s">
        <v>13</v>
      </c>
      <c r="C32" s="155" t="str">
        <f>VLOOKUP(B32,'Профи-Опен'!$B$4:$Q$37,16,0)</f>
        <v>25-28</v>
      </c>
      <c r="D32" s="156">
        <f>VLOOKUP(C32,Очки!$A$2:$B$112,2,0)</f>
        <v>6.5</v>
      </c>
      <c r="E32" s="157">
        <f>VLOOKUP(B32,'Профи-Опен'!$B$4:$Q$37,9,0)</f>
        <v>6</v>
      </c>
      <c r="F32" s="157">
        <f>VLOOKUP(B32,'Профи-Опен'!$B$4:$Q$37,15,0)</f>
        <v>4</v>
      </c>
      <c r="G32" s="156">
        <f>ROUND(10*F32/(E32*2),1)</f>
        <v>3.3</v>
      </c>
      <c r="H32" s="409">
        <f>D32+G32</f>
        <v>9.8</v>
      </c>
      <c r="I32" s="158" t="str">
        <f>VLOOKUP(B32,Торпедо!$C$37:$Z$64,24,0)</f>
        <v>15-16</v>
      </c>
      <c r="J32" s="156">
        <f>VLOOKUP(I32,Очки!$A$2:$B$112,2,0)</f>
        <v>17.5</v>
      </c>
      <c r="K32" s="171">
        <f>VLOOKUP(B32,Торпедо!$C$37:$Z$64,15,0)</f>
        <v>12</v>
      </c>
      <c r="L32" s="171">
        <f>VLOOKUP(B32,Торпедо!$C$37:$Z$64,23,0)</f>
        <v>10</v>
      </c>
      <c r="M32" s="180">
        <f t="shared" si="0"/>
        <v>4.2</v>
      </c>
      <c r="N32" s="161">
        <f t="shared" si="1"/>
        <v>21.7</v>
      </c>
      <c r="O32" s="155" t="str">
        <f>VLOOKUP(B32,ФФП!$C$5:$M$44,11,0)</f>
        <v>25-27</v>
      </c>
      <c r="P32" s="156">
        <f>VLOOKUP(O32,Очки!$A$2:$B$112,2,0)</f>
        <v>7</v>
      </c>
      <c r="Q32" s="157">
        <f>VLOOKUP(B32,ФФП!$C$3:$L$44,3,0)</f>
        <v>11</v>
      </c>
      <c r="R32" s="157">
        <f>VLOOKUP(B32,ФФП!$C$3:$M$44,2,0)</f>
        <v>9</v>
      </c>
      <c r="S32" s="156">
        <f t="shared" si="2"/>
        <v>4.1</v>
      </c>
      <c r="T32" s="409">
        <f t="shared" si="3"/>
        <v>11.1</v>
      </c>
      <c r="U32" s="155" t="str">
        <f>VLOOKUP(B32,Спартакиада!$B$4:$T$51,19,0)</f>
        <v>31-35</v>
      </c>
      <c r="V32" s="156">
        <f>VLOOKUP(U32,Очки!$A$2:$B$112,2,0)</f>
        <v>0.6</v>
      </c>
      <c r="W32" s="157">
        <f>VLOOKUP(B32,Спартакиада!$B$4:$T$51,10,0)</f>
        <v>7</v>
      </c>
      <c r="X32" s="157">
        <f>VLOOKUP(B32,Спартакиада!$B$4:$T$51,18,0)</f>
        <v>3</v>
      </c>
      <c r="Y32" s="156">
        <f t="shared" si="4"/>
        <v>2.1</v>
      </c>
      <c r="Z32" s="409">
        <f t="shared" si="5"/>
        <v>2.7</v>
      </c>
      <c r="AA32" s="158" t="str">
        <f>VLOOKUP(B32,Форвард!$C$44:$S$66,17,FALSE)</f>
        <v>16-18</v>
      </c>
      <c r="AB32" s="159">
        <f>VLOOKUP(AA32,Очки!$A$2:$B$111,2,0)</f>
        <v>16</v>
      </c>
      <c r="AC32" s="160">
        <f>VLOOKUP(B32,Форвард!$C$4:$S$42,8,FALSE)+VLOOKUP(B32,Форвард!$C$44:$S$66,8,FALSE)</f>
        <v>10</v>
      </c>
      <c r="AD32" s="160">
        <f>VLOOKUP(B32,Форвард!$C$4:$S$42,16,FALSE)+VLOOKUP(B32,Форвард!$C$44:$S$66,16,FALSE)</f>
        <v>9</v>
      </c>
      <c r="AE32" s="156">
        <f t="shared" si="14"/>
        <v>4.5</v>
      </c>
      <c r="AF32" s="161">
        <f t="shared" si="15"/>
        <v>20.5</v>
      </c>
      <c r="AG32" s="419">
        <f>H32+T32+N32+Z32+AF32-MIN(H32,N32,T32,Z32,AF32)</f>
        <v>63.099999999999994</v>
      </c>
    </row>
    <row r="33" spans="1:33" ht="13.5" thickBot="1">
      <c r="A33" s="6">
        <v>30</v>
      </c>
      <c r="B33" s="177" t="s">
        <v>12</v>
      </c>
      <c r="C33" s="155"/>
      <c r="D33" s="156"/>
      <c r="E33" s="157"/>
      <c r="F33" s="157"/>
      <c r="G33" s="156"/>
      <c r="H33" s="409"/>
      <c r="I33" s="158" t="str">
        <f>VLOOKUP(B33,Торпедо!$C$5:$U$32,19,0)</f>
        <v>36-37</v>
      </c>
      <c r="J33" s="156">
        <f>VLOOKUP(I33,Очки!$A$2:$B$112,2,0)</f>
        <v>0</v>
      </c>
      <c r="K33" s="171">
        <f>VLOOKUP(B33,Торпедо!$C$5:$U$32,10,0)</f>
        <v>7</v>
      </c>
      <c r="L33" s="171">
        <f>VLOOKUP(B33,Торпедо!$C$5:$U$32,18,0)</f>
        <v>5</v>
      </c>
      <c r="M33" s="180">
        <f t="shared" si="0"/>
        <v>3.6</v>
      </c>
      <c r="N33" s="161">
        <f t="shared" si="1"/>
        <v>3.6</v>
      </c>
      <c r="O33" s="155" t="str">
        <f>VLOOKUP(B33,ФФП!$C$5:$M$44,11,0)</f>
        <v>34-36</v>
      </c>
      <c r="P33" s="156">
        <f>VLOOKUP(O33,Очки!$A$2:$B$112,2,0)</f>
        <v>0</v>
      </c>
      <c r="Q33" s="157">
        <f>VLOOKUP(B33,ФФП!$C$3:$L$44,3,0)</f>
        <v>11</v>
      </c>
      <c r="R33" s="157">
        <f>VLOOKUP(B33,ФФП!$C$3:$M$44,2,0)</f>
        <v>5</v>
      </c>
      <c r="S33" s="156">
        <f t="shared" si="2"/>
        <v>2.3</v>
      </c>
      <c r="T33" s="409">
        <f t="shared" si="3"/>
        <v>2.3</v>
      </c>
      <c r="U33" s="155" t="str">
        <f>VLOOKUP(B33,Спартакиада!$B$4:$T$51,19,0)</f>
        <v>16-20</v>
      </c>
      <c r="V33" s="156">
        <f>VLOOKUP(U33,Очки!$A$2:$B$112,2,0)</f>
        <v>15</v>
      </c>
      <c r="W33" s="157">
        <f>VLOOKUP(B33,Спартакиада!$B$4:$T$51,10,0)</f>
        <v>7</v>
      </c>
      <c r="X33" s="157">
        <f>VLOOKUP(B33,Спартакиада!$B$4:$T$51,18,0)</f>
        <v>7</v>
      </c>
      <c r="Y33" s="156">
        <f t="shared" si="4"/>
        <v>5</v>
      </c>
      <c r="Z33" s="409">
        <f t="shared" si="5"/>
        <v>20</v>
      </c>
      <c r="AA33" s="158" t="str">
        <f>VLOOKUP(B33,Форвард!$C$44:$S$66,17,FALSE)</f>
        <v>13-15</v>
      </c>
      <c r="AB33" s="159">
        <f>VLOOKUP(AA33,Очки!$A$2:$B$111,2,0)</f>
        <v>19</v>
      </c>
      <c r="AC33" s="160">
        <f>VLOOKUP(B33,Форвард!$C$4:$S$42,8,FALSE)+VLOOKUP(B33,Форвард!$C$44:$S$66,8,FALSE)</f>
        <v>10</v>
      </c>
      <c r="AD33" s="160">
        <f>VLOOKUP(B33,Форвард!$C$4:$S$42,16,FALSE)+VLOOKUP(B33,Форвард!$C$44:$S$66,16,FALSE)</f>
        <v>10</v>
      </c>
      <c r="AE33" s="156">
        <f t="shared" si="14"/>
        <v>5</v>
      </c>
      <c r="AF33" s="161">
        <f t="shared" si="15"/>
        <v>24</v>
      </c>
      <c r="AG33" s="419">
        <f>H33+T33+N33+Z33+AF33</f>
        <v>49.9</v>
      </c>
    </row>
    <row r="34" spans="1:33" ht="13.5" thickBot="1">
      <c r="A34" s="7">
        <v>31</v>
      </c>
      <c r="B34" s="193" t="s">
        <v>123</v>
      </c>
      <c r="C34" s="155"/>
      <c r="D34" s="156"/>
      <c r="E34" s="157"/>
      <c r="F34" s="157"/>
      <c r="G34" s="156"/>
      <c r="H34" s="409"/>
      <c r="I34" s="158"/>
      <c r="J34" s="156"/>
      <c r="K34" s="171"/>
      <c r="L34" s="171"/>
      <c r="M34" s="180"/>
      <c r="N34" s="161"/>
      <c r="O34" s="155">
        <f>VLOOKUP(B34,ФФП!$C$52:$N$63,12,0)</f>
        <v>7</v>
      </c>
      <c r="P34" s="156">
        <f>VLOOKUP(O34,Очки!$A$2:$B$112,2,0)</f>
        <v>28</v>
      </c>
      <c r="Q34" s="157">
        <f>VLOOKUP(B34,ФФП!$C$3:$L$44,3,0)+VLOOKUP(B34,ФФП!$C$52:$N$63,10,0)</f>
        <v>19</v>
      </c>
      <c r="R34" s="157">
        <f>VLOOKUP(B34,ФФП!$C$3:$M$44,2,0)+VLOOKUP(B34,ФФП!$C$52:$N$63,11,0)</f>
        <v>23</v>
      </c>
      <c r="S34" s="156">
        <f t="shared" si="2"/>
        <v>6.1</v>
      </c>
      <c r="T34" s="409">
        <f t="shared" si="3"/>
        <v>34.1</v>
      </c>
      <c r="U34" s="155" t="str">
        <f>VLOOKUP(B34,Спартакиада!$B$4:$T$51,19,0)</f>
        <v>31-35</v>
      </c>
      <c r="V34" s="156">
        <f>VLOOKUP(U34,Очки!$A$2:$B$112,2,0)</f>
        <v>0.6</v>
      </c>
      <c r="W34" s="157">
        <f>VLOOKUP(B34,Спартакиада!$B$4:$T$51,10,0)</f>
        <v>7</v>
      </c>
      <c r="X34" s="157">
        <f>VLOOKUP(B34,Спартакиада!$B$4:$T$51,18,0)</f>
        <v>6</v>
      </c>
      <c r="Y34" s="156">
        <f t="shared" si="4"/>
        <v>4.3</v>
      </c>
      <c r="Z34" s="409">
        <f t="shared" si="5"/>
        <v>4.8999999999999995</v>
      </c>
      <c r="AA34" s="158"/>
      <c r="AB34" s="159"/>
      <c r="AC34" s="160"/>
      <c r="AD34" s="160"/>
      <c r="AE34" s="156"/>
      <c r="AF34" s="161"/>
      <c r="AG34" s="419">
        <f>H34+T34+N34+Z34</f>
        <v>39</v>
      </c>
    </row>
    <row r="35" spans="1:33" ht="13.5" thickBot="1">
      <c r="A35" s="6">
        <v>32</v>
      </c>
      <c r="B35" s="193" t="s">
        <v>180</v>
      </c>
      <c r="C35" s="155"/>
      <c r="D35" s="156"/>
      <c r="E35" s="157"/>
      <c r="F35" s="157"/>
      <c r="G35" s="156"/>
      <c r="H35" s="409"/>
      <c r="I35" s="158"/>
      <c r="J35" s="156"/>
      <c r="K35" s="171"/>
      <c r="L35" s="171"/>
      <c r="M35" s="180"/>
      <c r="N35" s="161"/>
      <c r="O35" s="155"/>
      <c r="P35" s="156"/>
      <c r="Q35" s="157"/>
      <c r="R35" s="157"/>
      <c r="S35" s="156"/>
      <c r="T35" s="409"/>
      <c r="U35" s="155">
        <f>VLOOKUP(B35,Спартакиада!$B$55:$V$65,21,0)</f>
        <v>7</v>
      </c>
      <c r="V35" s="156">
        <f>VLOOKUP(U35,Очки!$A$2:$B$112,2,0)</f>
        <v>28</v>
      </c>
      <c r="W35" s="157">
        <f>VLOOKUP(B35,Спартакиада!$B$4:$T$51,10,0)+VLOOKUP(B35,Спартакиада!$B$55:$V$65,12,0)</f>
        <v>16</v>
      </c>
      <c r="X35" s="157">
        <f>VLOOKUP(B35,Спартакиада!$B$4:$T$51,18,0)+VLOOKUP(B35,Спартакиада!$B$55:$V$65,20,0)</f>
        <v>16</v>
      </c>
      <c r="Y35" s="156">
        <f t="shared" si="4"/>
        <v>5</v>
      </c>
      <c r="Z35" s="409">
        <f t="shared" si="5"/>
        <v>33</v>
      </c>
      <c r="AA35" s="158"/>
      <c r="AB35" s="159"/>
      <c r="AC35" s="160"/>
      <c r="AD35" s="160"/>
      <c r="AE35" s="156"/>
      <c r="AF35" s="161"/>
      <c r="AG35" s="419">
        <f>H35+T35+N35+Z35</f>
        <v>33</v>
      </c>
    </row>
    <row r="36" spans="1:33" ht="13.5" thickBot="1">
      <c r="A36" s="7">
        <v>33</v>
      </c>
      <c r="B36" s="193" t="s">
        <v>20</v>
      </c>
      <c r="C36" s="155" t="str">
        <f>VLOOKUP(B36,'Профи-Опен'!$B$4:$Q$37,16,0)</f>
        <v>17-20</v>
      </c>
      <c r="D36" s="156">
        <f>VLOOKUP(C36,Очки!$A$2:$B$112,2,0)</f>
        <v>14.5</v>
      </c>
      <c r="E36" s="157">
        <f>VLOOKUP(B36,'Профи-Опен'!$B$4:$Q$37,9,0)</f>
        <v>6</v>
      </c>
      <c r="F36" s="157">
        <f>VLOOKUP(B36,'Профи-Опен'!$B$4:$Q$37,15,0)</f>
        <v>5</v>
      </c>
      <c r="G36" s="156">
        <f>ROUND(10*F36/(E36*2),1)</f>
        <v>4.2</v>
      </c>
      <c r="H36" s="409">
        <f>D36+G36</f>
        <v>18.7</v>
      </c>
      <c r="I36" s="158" t="str">
        <f>VLOOKUP(B36,Торпедо!$C$5:$U$32,19,0)</f>
        <v>30-32</v>
      </c>
      <c r="J36" s="156">
        <f>VLOOKUP(I36,Очки!$A$2:$B$112,2,0)</f>
        <v>2</v>
      </c>
      <c r="K36" s="171">
        <f>VLOOKUP(B36,Торпедо!$C$5:$U$32,10,0)</f>
        <v>7</v>
      </c>
      <c r="L36" s="171">
        <f>VLOOKUP(B36,Торпедо!$C$5:$U$32,18,0)</f>
        <v>6</v>
      </c>
      <c r="M36" s="180">
        <f>ROUND(10*L36/(K36*2),1)</f>
        <v>4.3</v>
      </c>
      <c r="N36" s="161">
        <f>J36+M36</f>
        <v>6.3</v>
      </c>
      <c r="O36" s="155"/>
      <c r="P36" s="156"/>
      <c r="Q36" s="157"/>
      <c r="R36" s="157"/>
      <c r="S36" s="156"/>
      <c r="T36" s="409"/>
      <c r="U36" s="155" t="str">
        <f>VLOOKUP(B36,Спартакиада!$B$4:$T$51,19,0)</f>
        <v>31-35</v>
      </c>
      <c r="V36" s="156">
        <f>VLOOKUP(U36,Очки!$A$2:$B$112,2,0)</f>
        <v>0.6</v>
      </c>
      <c r="W36" s="157">
        <f>VLOOKUP(B36,Спартакиада!$B$4:$T$51,10,0)</f>
        <v>7</v>
      </c>
      <c r="X36" s="157">
        <f>VLOOKUP(B36,Спартакиада!$B$4:$T$51,18,0)</f>
        <v>4</v>
      </c>
      <c r="Y36" s="156">
        <f t="shared" si="4"/>
        <v>2.9</v>
      </c>
      <c r="Z36" s="409">
        <f t="shared" si="5"/>
        <v>3.5</v>
      </c>
      <c r="AA36" s="158"/>
      <c r="AB36" s="159"/>
      <c r="AC36" s="160"/>
      <c r="AD36" s="160"/>
      <c r="AE36" s="156"/>
      <c r="AF36" s="161"/>
      <c r="AG36" s="419">
        <f>H36+T36+N36+Z36</f>
        <v>28.5</v>
      </c>
    </row>
    <row r="37" spans="1:33" ht="27" customHeight="1" thickBot="1">
      <c r="A37" s="6">
        <v>34</v>
      </c>
      <c r="B37" s="193" t="s">
        <v>61</v>
      </c>
      <c r="C37" s="155"/>
      <c r="D37" s="156"/>
      <c r="E37" s="157"/>
      <c r="F37" s="157"/>
      <c r="G37" s="156"/>
      <c r="H37" s="409"/>
      <c r="I37" s="158"/>
      <c r="J37" s="156"/>
      <c r="K37" s="171"/>
      <c r="L37" s="171"/>
      <c r="M37" s="180"/>
      <c r="N37" s="161"/>
      <c r="O37" s="155"/>
      <c r="P37" s="156"/>
      <c r="Q37" s="157"/>
      <c r="R37" s="157"/>
      <c r="S37" s="156"/>
      <c r="T37" s="409"/>
      <c r="U37" s="155" t="str">
        <f>VLOOKUP(B37,Спартакиада!$B$4:$T$51,19,0)</f>
        <v>11-15</v>
      </c>
      <c r="V37" s="156">
        <f>VLOOKUP(U37,Очки!$A$2:$B$112,2,0)</f>
        <v>20</v>
      </c>
      <c r="W37" s="157">
        <f>VLOOKUP(B37,Спартакиада!$B$4:$T$51,10,0)</f>
        <v>7</v>
      </c>
      <c r="X37" s="157">
        <f>VLOOKUP(B37,Спартакиада!$B$4:$T$51,18,0)</f>
        <v>8</v>
      </c>
      <c r="Y37" s="156">
        <f t="shared" si="4"/>
        <v>5.7</v>
      </c>
      <c r="Z37" s="409">
        <f t="shared" si="5"/>
        <v>25.7</v>
      </c>
      <c r="AA37" s="158"/>
      <c r="AB37" s="159"/>
      <c r="AC37" s="160"/>
      <c r="AD37" s="160"/>
      <c r="AE37" s="156"/>
      <c r="AF37" s="161"/>
      <c r="AG37" s="419">
        <f>H37+T37+N37+Z37</f>
        <v>25.7</v>
      </c>
    </row>
    <row r="38" spans="1:33" ht="13.5" thickBot="1">
      <c r="A38" s="7">
        <v>35</v>
      </c>
      <c r="B38" s="193" t="s">
        <v>88</v>
      </c>
      <c r="C38" s="155"/>
      <c r="D38" s="156"/>
      <c r="E38" s="157"/>
      <c r="F38" s="157"/>
      <c r="G38" s="156"/>
      <c r="H38" s="409"/>
      <c r="I38" s="158">
        <f>VLOOKUP(B38,Торпедо!$C$5:$U$32,19,0)</f>
        <v>26</v>
      </c>
      <c r="J38" s="156">
        <f>VLOOKUP(I38,Очки!$A$2:$B$112,2,0)</f>
        <v>7</v>
      </c>
      <c r="K38" s="171">
        <f>VLOOKUP(B38,Торпедо!$C$5:$U$32,10,0)+VLOOKUP(B38,Торпедо!$C$37:$Z$64,15,0)</f>
        <v>19</v>
      </c>
      <c r="L38" s="171">
        <f>VLOOKUP(B38,Торпедо!$C$5:$U$32,18,0)+VLOOKUP(B38,Торпедо!$C$37:$Z$64,23,0)</f>
        <v>24</v>
      </c>
      <c r="M38" s="180">
        <f>ROUND(10*L38/(K38*2),1)</f>
        <v>6.3</v>
      </c>
      <c r="N38" s="161">
        <f>J38+M38</f>
        <v>13.3</v>
      </c>
      <c r="O38" s="155" t="str">
        <f>VLOOKUP(B38,ФФП!$C$5:$M$44,11,0)</f>
        <v>31-33</v>
      </c>
      <c r="P38" s="156">
        <f>VLOOKUP(O38,Очки!$A$2:$B$112,2,0)</f>
        <v>1</v>
      </c>
      <c r="Q38" s="157">
        <f>VLOOKUP(B38,ФФП!$C$3:$L$44,3,0)</f>
        <v>11</v>
      </c>
      <c r="R38" s="157">
        <f>VLOOKUP(B38,ФФП!$C$3:$M$44,2,0)</f>
        <v>7</v>
      </c>
      <c r="S38" s="156">
        <f>ROUND(10*R38/(Q38*2),1)</f>
        <v>3.2</v>
      </c>
      <c r="T38" s="409">
        <f>P38+S38</f>
        <v>4.2</v>
      </c>
      <c r="U38" s="155"/>
      <c r="V38" s="156"/>
      <c r="W38" s="157"/>
      <c r="X38" s="157"/>
      <c r="Y38" s="156"/>
      <c r="Z38" s="409"/>
      <c r="AA38" s="158" t="str">
        <f>VLOOKUP(B38,Форвард!$C$4:$S$42,17,FALSE)</f>
        <v>26-30</v>
      </c>
      <c r="AB38" s="159">
        <f>VLOOKUP(AA38,Очки!$A$2:$B$111,2,0)</f>
        <v>5</v>
      </c>
      <c r="AC38" s="160">
        <f>VLOOKUP(B38,Форвард!$C$4:$S$42,8,FALSE)</f>
        <v>5</v>
      </c>
      <c r="AD38" s="160">
        <f>VLOOKUP(B38,Форвард!$C$4:$S$42,16,FALSE)</f>
        <v>2</v>
      </c>
      <c r="AE38" s="156">
        <f>ROUND(10*AD38/(AC38*2),1)</f>
        <v>2</v>
      </c>
      <c r="AF38" s="161">
        <f>AB38+AE38</f>
        <v>7</v>
      </c>
      <c r="AG38" s="419">
        <f>H38+T38+N38+Z38+AF38</f>
        <v>24.5</v>
      </c>
    </row>
    <row r="39" spans="1:33" ht="13.5" thickBot="1">
      <c r="A39" s="6">
        <v>36</v>
      </c>
      <c r="B39" s="193" t="s">
        <v>507</v>
      </c>
      <c r="C39" s="155"/>
      <c r="D39" s="156"/>
      <c r="E39" s="157"/>
      <c r="F39" s="157"/>
      <c r="G39" s="156"/>
      <c r="H39" s="409"/>
      <c r="I39" s="158">
        <f>VLOOKUP(B39,Торпедо!$C$5:$U$32,19,0)</f>
        <v>26</v>
      </c>
      <c r="J39" s="156">
        <f>VLOOKUP(I39,Очки!$A$2:$B$112,2,0)</f>
        <v>7</v>
      </c>
      <c r="K39" s="171">
        <f>VLOOKUP(B39,Торпедо!$C$5:$U$32,10,0)+VLOOKUP(B39,Торпедо!$C$37:$Z$64,15,0)</f>
        <v>19</v>
      </c>
      <c r="L39" s="171">
        <f>VLOOKUP(B39,Торпедо!$C$5:$U$32,18,0)+VLOOKUP(B39,Торпедо!$C$37:$Z$64,23,0)</f>
        <v>20</v>
      </c>
      <c r="M39" s="180">
        <f>ROUND(10*L39/(K39*2),1)</f>
        <v>5.3</v>
      </c>
      <c r="N39" s="161">
        <f>J39+M39</f>
        <v>12.3</v>
      </c>
      <c r="O39" s="155"/>
      <c r="P39" s="156"/>
      <c r="Q39" s="157"/>
      <c r="R39" s="157"/>
      <c r="S39" s="156"/>
      <c r="T39" s="409"/>
      <c r="U39" s="155" t="str">
        <f>VLOOKUP(B39,Спартакиада!$B$4:$T$51,19,0)</f>
        <v>31-35</v>
      </c>
      <c r="V39" s="156">
        <f>VLOOKUP(U39,Очки!$A$2:$B$112,2,0)</f>
        <v>0.6</v>
      </c>
      <c r="W39" s="157">
        <f>VLOOKUP(B39,Спартакиада!$B$4:$T$51,10,0)</f>
        <v>7</v>
      </c>
      <c r="X39" s="157">
        <f>VLOOKUP(B39,Спартакиада!$B$4:$T$51,18,0)</f>
        <v>3</v>
      </c>
      <c r="Y39" s="156">
        <f>ROUND(10*X39/(W39*2),1)</f>
        <v>2.1</v>
      </c>
      <c r="Z39" s="409">
        <f>V39+Y39</f>
        <v>2.7</v>
      </c>
      <c r="AA39" s="158"/>
      <c r="AB39" s="159"/>
      <c r="AC39" s="160"/>
      <c r="AD39" s="160"/>
      <c r="AE39" s="156"/>
      <c r="AF39" s="161"/>
      <c r="AG39" s="419">
        <f aca="true" t="shared" si="16" ref="AG39:AG45">H39+T39+N39+Z39</f>
        <v>15</v>
      </c>
    </row>
    <row r="40" spans="1:33" ht="13.5" thickBot="1">
      <c r="A40" s="7">
        <v>37</v>
      </c>
      <c r="B40" s="193" t="s">
        <v>198</v>
      </c>
      <c r="C40" s="155" t="str">
        <f>VLOOKUP(B40,'Профи-Опен'!$B$4:$Q$37,16,0)</f>
        <v>21-24</v>
      </c>
      <c r="D40" s="156">
        <f>VLOOKUP(C40,Очки!$A$2:$B$112,2,0)</f>
        <v>10.5</v>
      </c>
      <c r="E40" s="157">
        <f>VLOOKUP(B40,'Профи-Опен'!$B$4:$Q$37,9,0)</f>
        <v>6</v>
      </c>
      <c r="F40" s="157">
        <f>VLOOKUP(B40,'Профи-Опен'!$B$4:$Q$37,15,0)</f>
        <v>4</v>
      </c>
      <c r="G40" s="156">
        <f>ROUND(10*F40/(E40*2),1)</f>
        <v>3.3</v>
      </c>
      <c r="H40" s="409">
        <f>D40+G40</f>
        <v>13.8</v>
      </c>
      <c r="I40" s="158" t="str">
        <f>VLOOKUP(B40,Торпедо!$C$5:$U$32,19,0)</f>
        <v>30-32</v>
      </c>
      <c r="J40" s="156">
        <f>VLOOKUP(I40,Очки!$A$2:$B$112,2,0)</f>
        <v>2</v>
      </c>
      <c r="K40" s="171">
        <f>VLOOKUP(B40,Торпедо!$C$5:$U$32,10,0)</f>
        <v>6</v>
      </c>
      <c r="L40" s="171">
        <f>VLOOKUP(B40,Торпедо!$C$5:$U$32,18,0)</f>
        <v>-3</v>
      </c>
      <c r="M40" s="180">
        <f>ROUND(10*L40/(K40*2),1)</f>
        <v>-2.5</v>
      </c>
      <c r="N40" s="161">
        <f>J40+M40</f>
        <v>-0.5</v>
      </c>
      <c r="O40" s="155"/>
      <c r="P40" s="156"/>
      <c r="Q40" s="157"/>
      <c r="R40" s="157"/>
      <c r="S40" s="156"/>
      <c r="T40" s="409"/>
      <c r="U40" s="155"/>
      <c r="V40" s="156"/>
      <c r="W40" s="157"/>
      <c r="X40" s="157"/>
      <c r="Y40" s="156"/>
      <c r="Z40" s="409"/>
      <c r="AA40" s="158"/>
      <c r="AB40" s="159"/>
      <c r="AC40" s="160"/>
      <c r="AD40" s="160"/>
      <c r="AE40" s="156"/>
      <c r="AF40" s="161"/>
      <c r="AG40" s="419">
        <f t="shared" si="16"/>
        <v>13.3</v>
      </c>
    </row>
    <row r="41" spans="1:33" ht="13.5" thickBot="1">
      <c r="A41" s="6">
        <v>38</v>
      </c>
      <c r="B41" s="193" t="s">
        <v>87</v>
      </c>
      <c r="C41" s="155"/>
      <c r="D41" s="156"/>
      <c r="E41" s="157"/>
      <c r="F41" s="157"/>
      <c r="G41" s="156"/>
      <c r="H41" s="409"/>
      <c r="I41" s="158" t="str">
        <f>VLOOKUP(B41,Торпедо!$C$5:$U$32,19,0)</f>
        <v>27-29</v>
      </c>
      <c r="J41" s="156">
        <f>VLOOKUP(I41,Очки!$A$2:$B$112,2,0)</f>
        <v>5</v>
      </c>
      <c r="K41" s="171">
        <f>VLOOKUP(B41,Торпедо!$C$5:$U$32,10,0)</f>
        <v>7</v>
      </c>
      <c r="L41" s="171">
        <f>VLOOKUP(B41,Торпедо!$C$5:$U$32,18,0)</f>
        <v>6</v>
      </c>
      <c r="M41" s="180">
        <f>ROUND(10*L41/(K41*2),1)</f>
        <v>4.3</v>
      </c>
      <c r="N41" s="161">
        <f>J41+M41</f>
        <v>9.3</v>
      </c>
      <c r="O41" s="155"/>
      <c r="P41" s="156"/>
      <c r="Q41" s="157"/>
      <c r="R41" s="157"/>
      <c r="S41" s="156"/>
      <c r="T41" s="409"/>
      <c r="U41" s="155"/>
      <c r="V41" s="156"/>
      <c r="W41" s="157"/>
      <c r="X41" s="157"/>
      <c r="Y41" s="156"/>
      <c r="Z41" s="409"/>
      <c r="AA41" s="158"/>
      <c r="AB41" s="159"/>
      <c r="AC41" s="160"/>
      <c r="AD41" s="160"/>
      <c r="AE41" s="156"/>
      <c r="AF41" s="161"/>
      <c r="AG41" s="419">
        <f t="shared" si="16"/>
        <v>9.3</v>
      </c>
    </row>
    <row r="42" spans="1:33" ht="13.5" thickBot="1">
      <c r="A42" s="7">
        <v>39</v>
      </c>
      <c r="B42" s="193" t="s">
        <v>133</v>
      </c>
      <c r="C42" s="155"/>
      <c r="D42" s="156"/>
      <c r="E42" s="157"/>
      <c r="F42" s="157"/>
      <c r="G42" s="156"/>
      <c r="H42" s="409"/>
      <c r="I42" s="158" t="str">
        <f>VLOOKUP(B42,Торпедо!$C$5:$U$32,19,0)</f>
        <v>27-29</v>
      </c>
      <c r="J42" s="156">
        <f>VLOOKUP(I42,Очки!$A$2:$B$112,2,0)</f>
        <v>5</v>
      </c>
      <c r="K42" s="171">
        <f>VLOOKUP(B42,Торпедо!$C$5:$U$32,10,0)</f>
        <v>7</v>
      </c>
      <c r="L42" s="171">
        <f>VLOOKUP(B42,Торпедо!$C$5:$U$32,18,0)</f>
        <v>5</v>
      </c>
      <c r="M42" s="180">
        <f>ROUND(10*L42/(K42*2),1)</f>
        <v>3.6</v>
      </c>
      <c r="N42" s="161">
        <f>J42+M42</f>
        <v>8.6</v>
      </c>
      <c r="O42" s="155"/>
      <c r="P42" s="156"/>
      <c r="Q42" s="157"/>
      <c r="R42" s="157"/>
      <c r="S42" s="156"/>
      <c r="T42" s="409"/>
      <c r="U42" s="155"/>
      <c r="V42" s="156"/>
      <c r="W42" s="157"/>
      <c r="X42" s="157"/>
      <c r="Y42" s="156"/>
      <c r="Z42" s="409"/>
      <c r="AA42" s="158"/>
      <c r="AB42" s="159"/>
      <c r="AC42" s="160"/>
      <c r="AD42" s="160"/>
      <c r="AE42" s="156"/>
      <c r="AF42" s="161"/>
      <c r="AG42" s="419">
        <f t="shared" si="16"/>
        <v>8.6</v>
      </c>
    </row>
    <row r="43" spans="1:33" ht="13.5" thickBot="1">
      <c r="A43" s="6">
        <v>40</v>
      </c>
      <c r="B43" s="193" t="s">
        <v>179</v>
      </c>
      <c r="C43" s="155"/>
      <c r="D43" s="156"/>
      <c r="E43" s="157"/>
      <c r="F43" s="157"/>
      <c r="G43" s="156"/>
      <c r="H43" s="409"/>
      <c r="I43" s="158"/>
      <c r="J43" s="156"/>
      <c r="K43" s="171"/>
      <c r="L43" s="171"/>
      <c r="M43" s="180"/>
      <c r="N43" s="161"/>
      <c r="O43" s="155"/>
      <c r="P43" s="156"/>
      <c r="Q43" s="157"/>
      <c r="R43" s="157"/>
      <c r="S43" s="156"/>
      <c r="T43" s="409"/>
      <c r="U43" s="155" t="str">
        <f>VLOOKUP(B43,Спартакиада!$B$4:$T$51,19,0)</f>
        <v>26-30</v>
      </c>
      <c r="V43" s="156">
        <f>VLOOKUP(U43,Очки!$A$2:$B$112,2,0)</f>
        <v>5</v>
      </c>
      <c r="W43" s="157">
        <f>VLOOKUP(B43,Спартакиада!$B$4:$T$51,10,0)</f>
        <v>7</v>
      </c>
      <c r="X43" s="157">
        <f>VLOOKUP(B43,Спартакиада!$B$4:$T$51,18,0)</f>
        <v>5</v>
      </c>
      <c r="Y43" s="156">
        <f>ROUND(10*X43/(W43*2),1)</f>
        <v>3.6</v>
      </c>
      <c r="Z43" s="409">
        <f>V43+Y43</f>
        <v>8.6</v>
      </c>
      <c r="AA43" s="158"/>
      <c r="AB43" s="159"/>
      <c r="AC43" s="160"/>
      <c r="AD43" s="160"/>
      <c r="AE43" s="156"/>
      <c r="AF43" s="161"/>
      <c r="AG43" s="419">
        <f t="shared" si="16"/>
        <v>8.6</v>
      </c>
    </row>
    <row r="44" spans="1:33" ht="13.5" thickBot="1">
      <c r="A44" s="7">
        <v>41</v>
      </c>
      <c r="B44" s="193" t="s">
        <v>208</v>
      </c>
      <c r="C44" s="155"/>
      <c r="D44" s="156"/>
      <c r="E44" s="157"/>
      <c r="F44" s="157"/>
      <c r="G44" s="156"/>
      <c r="H44" s="409"/>
      <c r="I44" s="158"/>
      <c r="J44" s="156"/>
      <c r="K44" s="171"/>
      <c r="L44" s="171"/>
      <c r="M44" s="180"/>
      <c r="N44" s="161"/>
      <c r="O44" s="155" t="str">
        <f>VLOOKUP(B44,ФФП!$C$5:$M$44,11,0)</f>
        <v>28-30</v>
      </c>
      <c r="P44" s="156">
        <f>VLOOKUP(O44,Очки!$A$2:$B$112,2,0)</f>
        <v>4</v>
      </c>
      <c r="Q44" s="157">
        <f>VLOOKUP(B44,ФФП!$C$3:$L$44,3,0)</f>
        <v>11</v>
      </c>
      <c r="R44" s="157">
        <f>VLOOKUP(B44,ФФП!$C$3:$M$44,2,0)</f>
        <v>9</v>
      </c>
      <c r="S44" s="156">
        <f>ROUND(10*R44/(Q44*2),1)</f>
        <v>4.1</v>
      </c>
      <c r="T44" s="409">
        <f>P44+S44</f>
        <v>8.1</v>
      </c>
      <c r="U44" s="155"/>
      <c r="V44" s="156"/>
      <c r="W44" s="157"/>
      <c r="X44" s="157"/>
      <c r="Y44" s="156"/>
      <c r="Z44" s="409"/>
      <c r="AA44" s="158"/>
      <c r="AB44" s="159"/>
      <c r="AC44" s="160"/>
      <c r="AD44" s="160"/>
      <c r="AE44" s="156"/>
      <c r="AF44" s="161"/>
      <c r="AG44" s="419">
        <f t="shared" si="16"/>
        <v>8.1</v>
      </c>
    </row>
    <row r="45" spans="1:33" ht="13.5" thickBot="1">
      <c r="A45" s="6">
        <v>42</v>
      </c>
      <c r="B45" s="193" t="s">
        <v>176</v>
      </c>
      <c r="C45" s="155" t="str">
        <f>VLOOKUP(B45,'Профи-Опен'!$B$4:$Q$37,16,0)</f>
        <v>25-28</v>
      </c>
      <c r="D45" s="156">
        <f>VLOOKUP(C45,Очки!$A$2:$B$112,2,0)</f>
        <v>6.5</v>
      </c>
      <c r="E45" s="157">
        <f>VLOOKUP(B45,'Профи-Опен'!$B$4:$Q$37,9,0)</f>
        <v>6</v>
      </c>
      <c r="F45" s="157">
        <f>VLOOKUP(B45,'Профи-Опен'!$B$4:$Q$37,15,0)</f>
        <v>3</v>
      </c>
      <c r="G45" s="156">
        <f>ROUND(10*F45/(E45*2),1)</f>
        <v>2.5</v>
      </c>
      <c r="H45" s="409">
        <f>D45+G45</f>
        <v>9</v>
      </c>
      <c r="I45" s="158" t="str">
        <f>VLOOKUP(B45,Торпедо!$C$5:$U$32,19,0)</f>
        <v>33-35</v>
      </c>
      <c r="J45" s="156">
        <f>VLOOKUP(I45,Очки!$A$2:$B$112,2,0)</f>
        <v>0</v>
      </c>
      <c r="K45" s="171">
        <f>VLOOKUP(B45,Торпедо!$C$5:$U$32,10,0)</f>
        <v>6</v>
      </c>
      <c r="L45" s="171">
        <f>VLOOKUP(B45,Торпедо!$C$5:$U$32,18,0)</f>
        <v>-4</v>
      </c>
      <c r="M45" s="180">
        <f>ROUND(10*L45/(K45*2),1)</f>
        <v>-3.3</v>
      </c>
      <c r="N45" s="161">
        <f>J45+M45</f>
        <v>-3.3</v>
      </c>
      <c r="O45" s="155" t="str">
        <f>VLOOKUP(B45,ФФП!$C$5:$M$44,11,0)</f>
        <v>34-36</v>
      </c>
      <c r="P45" s="156">
        <f>VLOOKUP(O45,Очки!$A$2:$B$112,2,0)</f>
        <v>0</v>
      </c>
      <c r="Q45" s="157">
        <f>VLOOKUP(B45,ФФП!$C$3:$L$44,3,0)</f>
        <v>11</v>
      </c>
      <c r="R45" s="157">
        <f>VLOOKUP(B45,ФФП!$C$3:$M$44,2,0)</f>
        <v>5</v>
      </c>
      <c r="S45" s="156">
        <f>ROUND(10*R45/(Q45*2),1)</f>
        <v>2.3</v>
      </c>
      <c r="T45" s="409">
        <f>P45+S45</f>
        <v>2.3</v>
      </c>
      <c r="U45" s="155"/>
      <c r="V45" s="156"/>
      <c r="W45" s="157"/>
      <c r="X45" s="157"/>
      <c r="Y45" s="156"/>
      <c r="Z45" s="409"/>
      <c r="AA45" s="158"/>
      <c r="AB45" s="159"/>
      <c r="AC45" s="160"/>
      <c r="AD45" s="160"/>
      <c r="AE45" s="156"/>
      <c r="AF45" s="161"/>
      <c r="AG45" s="419">
        <f t="shared" si="16"/>
        <v>8</v>
      </c>
    </row>
    <row r="46" spans="1:33" ht="15.75" thickBot="1">
      <c r="A46" s="7">
        <v>43</v>
      </c>
      <c r="B46" s="421" t="s">
        <v>175</v>
      </c>
      <c r="C46" s="155"/>
      <c r="D46" s="156"/>
      <c r="E46" s="157"/>
      <c r="F46" s="157"/>
      <c r="G46" s="156"/>
      <c r="H46" s="409"/>
      <c r="I46" s="158"/>
      <c r="J46" s="156"/>
      <c r="K46" s="171"/>
      <c r="L46" s="171"/>
      <c r="M46" s="180"/>
      <c r="N46" s="161"/>
      <c r="O46" s="155"/>
      <c r="P46" s="156"/>
      <c r="Q46" s="157"/>
      <c r="R46" s="157"/>
      <c r="S46" s="156"/>
      <c r="T46" s="409"/>
      <c r="U46" s="155"/>
      <c r="V46" s="156"/>
      <c r="W46" s="157"/>
      <c r="X46" s="157"/>
      <c r="Y46" s="156"/>
      <c r="Z46" s="409"/>
      <c r="AA46" s="158" t="str">
        <f>VLOOKUP(B46,Форвард!$C$4:$S$42,17,FALSE)</f>
        <v>26-30</v>
      </c>
      <c r="AB46" s="159">
        <f>VLOOKUP(AA46,Очки!$A$2:$B$111,2,0)</f>
        <v>5</v>
      </c>
      <c r="AC46" s="160">
        <f>VLOOKUP(B46,Форвард!$C$4:$S$42,8,FALSE)</f>
        <v>5</v>
      </c>
      <c r="AD46" s="160">
        <f>VLOOKUP(B46,Форвард!$C$4:$S$42,16,FALSE)</f>
        <v>3</v>
      </c>
      <c r="AE46" s="156">
        <f>ROUND(10*AD46/(AC46*2),1)</f>
        <v>3</v>
      </c>
      <c r="AF46" s="161">
        <f>AB46+AE46</f>
        <v>8</v>
      </c>
      <c r="AG46" s="419">
        <f>H46+T46+N46+Z46+AF46</f>
        <v>8</v>
      </c>
    </row>
    <row r="47" spans="1:33" ht="13.5" thickBot="1">
      <c r="A47" s="6">
        <v>44</v>
      </c>
      <c r="B47" s="193" t="s">
        <v>348</v>
      </c>
      <c r="C47" s="155" t="str">
        <f>VLOOKUP(B47,'Профи-Опен'!$B$4:$Q$37,16,0)</f>
        <v>25-28</v>
      </c>
      <c r="D47" s="156">
        <f>VLOOKUP(C47,Очки!$A$2:$B$112,2,0)</f>
        <v>6.5</v>
      </c>
      <c r="E47" s="157">
        <f>VLOOKUP(B47,'Профи-Опен'!$B$4:$Q$37,9,0)</f>
        <v>6</v>
      </c>
      <c r="F47" s="157">
        <f>VLOOKUP(B47,'Профи-Опен'!$B$4:$Q$37,15,0)</f>
        <v>0</v>
      </c>
      <c r="G47" s="156">
        <f>ROUND(10*F47/(E47*2),1)</f>
        <v>0</v>
      </c>
      <c r="H47" s="409">
        <f>D47+G47</f>
        <v>6.5</v>
      </c>
      <c r="I47" s="158"/>
      <c r="J47" s="156"/>
      <c r="K47" s="171"/>
      <c r="L47" s="171"/>
      <c r="M47" s="180"/>
      <c r="N47" s="161"/>
      <c r="O47" s="155"/>
      <c r="P47" s="156"/>
      <c r="Q47" s="157"/>
      <c r="R47" s="157"/>
      <c r="S47" s="156"/>
      <c r="T47" s="409"/>
      <c r="U47" s="155"/>
      <c r="V47" s="156"/>
      <c r="W47" s="157"/>
      <c r="X47" s="157"/>
      <c r="Y47" s="156"/>
      <c r="Z47" s="409"/>
      <c r="AA47" s="158"/>
      <c r="AB47" s="159"/>
      <c r="AC47" s="160"/>
      <c r="AD47" s="160"/>
      <c r="AE47" s="156"/>
      <c r="AF47" s="161"/>
      <c r="AG47" s="419">
        <f aca="true" t="shared" si="17" ref="AG47:AG53">H47+T47+N47+Z47</f>
        <v>6.5</v>
      </c>
    </row>
    <row r="48" spans="1:33" ht="13.5" thickBot="1">
      <c r="A48" s="7">
        <v>45</v>
      </c>
      <c r="B48" s="193" t="s">
        <v>130</v>
      </c>
      <c r="C48" s="155"/>
      <c r="D48" s="156"/>
      <c r="E48" s="157"/>
      <c r="F48" s="157"/>
      <c r="G48" s="156"/>
      <c r="H48" s="409"/>
      <c r="I48" s="158"/>
      <c r="J48" s="156"/>
      <c r="K48" s="171"/>
      <c r="L48" s="171"/>
      <c r="M48" s="180"/>
      <c r="N48" s="161"/>
      <c r="O48" s="155" t="str">
        <f>VLOOKUP(B48,ФФП!$C$5:$M$44,11,0)</f>
        <v>31-33</v>
      </c>
      <c r="P48" s="156">
        <f>VLOOKUP(O48,Очки!$A$2:$B$112,2,0)</f>
        <v>1</v>
      </c>
      <c r="Q48" s="157">
        <f>VLOOKUP(B48,ФФП!$C$3:$L$44,3,0)</f>
        <v>11</v>
      </c>
      <c r="R48" s="157">
        <f>VLOOKUP(B48,ФФП!$C$3:$M$44,2,0)</f>
        <v>7</v>
      </c>
      <c r="S48" s="156">
        <f>ROUND(10*R48/(Q48*2),1)</f>
        <v>3.2</v>
      </c>
      <c r="T48" s="409">
        <f>P48+S48</f>
        <v>4.2</v>
      </c>
      <c r="U48" s="155"/>
      <c r="V48" s="156"/>
      <c r="W48" s="157"/>
      <c r="X48" s="157"/>
      <c r="Y48" s="156"/>
      <c r="Z48" s="409"/>
      <c r="AA48" s="158"/>
      <c r="AB48" s="159"/>
      <c r="AC48" s="160"/>
      <c r="AD48" s="160"/>
      <c r="AE48" s="156"/>
      <c r="AF48" s="161"/>
      <c r="AG48" s="419">
        <f t="shared" si="17"/>
        <v>4.2</v>
      </c>
    </row>
    <row r="49" spans="1:33" ht="13.5" thickBot="1">
      <c r="A49" s="6">
        <v>46</v>
      </c>
      <c r="B49" s="193" t="s">
        <v>531</v>
      </c>
      <c r="C49" s="155"/>
      <c r="D49" s="156"/>
      <c r="E49" s="157"/>
      <c r="F49" s="157"/>
      <c r="G49" s="156"/>
      <c r="H49" s="409"/>
      <c r="I49" s="158"/>
      <c r="J49" s="156"/>
      <c r="K49" s="171"/>
      <c r="L49" s="171"/>
      <c r="M49" s="180"/>
      <c r="N49" s="161"/>
      <c r="O49" s="155"/>
      <c r="P49" s="156"/>
      <c r="Q49" s="157"/>
      <c r="R49" s="157"/>
      <c r="S49" s="156"/>
      <c r="T49" s="409"/>
      <c r="U49" s="155" t="str">
        <f>VLOOKUP(B49,Спартакиада!$B$4:$T$51,19,0)</f>
        <v>31-35</v>
      </c>
      <c r="V49" s="156">
        <f>VLOOKUP(U49,Очки!$A$2:$B$112,2,0)</f>
        <v>0.6</v>
      </c>
      <c r="W49" s="157">
        <f>VLOOKUP(B49,Спартакиада!$B$4:$T$51,10,0)</f>
        <v>7</v>
      </c>
      <c r="X49" s="157">
        <f>VLOOKUP(B49,Спартакиада!$B$4:$T$51,18,0)</f>
        <v>5</v>
      </c>
      <c r="Y49" s="156">
        <f>ROUND(10*X49/(W49*2),1)</f>
        <v>3.6</v>
      </c>
      <c r="Z49" s="409">
        <f>V49+Y49</f>
        <v>4.2</v>
      </c>
      <c r="AA49" s="158"/>
      <c r="AB49" s="159"/>
      <c r="AC49" s="160"/>
      <c r="AD49" s="160"/>
      <c r="AE49" s="156"/>
      <c r="AF49" s="161"/>
      <c r="AG49" s="419">
        <f t="shared" si="17"/>
        <v>4.2</v>
      </c>
    </row>
    <row r="50" spans="1:33" ht="13.5" thickBot="1">
      <c r="A50" s="7">
        <v>47</v>
      </c>
      <c r="B50" s="193" t="s">
        <v>65</v>
      </c>
      <c r="C50" s="155"/>
      <c r="D50" s="156"/>
      <c r="E50" s="157"/>
      <c r="F50" s="157"/>
      <c r="G50" s="156"/>
      <c r="H50" s="409"/>
      <c r="I50" s="158"/>
      <c r="J50" s="156"/>
      <c r="K50" s="171"/>
      <c r="L50" s="171"/>
      <c r="M50" s="180"/>
      <c r="N50" s="161"/>
      <c r="O50" s="155" t="str">
        <f>VLOOKUP(B50,ФФП!$C$5:$M$44,11,0)</f>
        <v>34-36</v>
      </c>
      <c r="P50" s="156">
        <f>VLOOKUP(O50,Очки!$A$2:$B$112,2,0)</f>
        <v>0</v>
      </c>
      <c r="Q50" s="157">
        <f>VLOOKUP(B50,ФФП!$C$3:$L$44,3,0)</f>
        <v>11</v>
      </c>
      <c r="R50" s="157">
        <f>VLOOKUP(B50,ФФП!$C$3:$M$44,2,0)</f>
        <v>6</v>
      </c>
      <c r="S50" s="156">
        <f>ROUND(10*R50/(Q50*2),1)</f>
        <v>2.7</v>
      </c>
      <c r="T50" s="409">
        <f>P50+S50</f>
        <v>2.7</v>
      </c>
      <c r="U50" s="155"/>
      <c r="V50" s="156"/>
      <c r="W50" s="157"/>
      <c r="X50" s="157"/>
      <c r="Y50" s="156"/>
      <c r="Z50" s="409"/>
      <c r="AA50" s="158"/>
      <c r="AB50" s="159"/>
      <c r="AC50" s="160"/>
      <c r="AD50" s="160"/>
      <c r="AE50" s="156"/>
      <c r="AF50" s="161"/>
      <c r="AG50" s="419">
        <f t="shared" si="17"/>
        <v>2.7</v>
      </c>
    </row>
    <row r="51" spans="1:33" ht="13.5" thickBot="1">
      <c r="A51" s="6">
        <v>48</v>
      </c>
      <c r="B51" s="193" t="s">
        <v>66</v>
      </c>
      <c r="C51" s="155"/>
      <c r="D51" s="156"/>
      <c r="E51" s="157"/>
      <c r="F51" s="157"/>
      <c r="G51" s="156"/>
      <c r="H51" s="409"/>
      <c r="I51" s="158"/>
      <c r="J51" s="156"/>
      <c r="K51" s="171"/>
      <c r="L51" s="171"/>
      <c r="M51" s="180"/>
      <c r="N51" s="161"/>
      <c r="O51" s="155"/>
      <c r="P51" s="156"/>
      <c r="Q51" s="157"/>
      <c r="R51" s="157"/>
      <c r="S51" s="156"/>
      <c r="T51" s="409"/>
      <c r="U51" s="155" t="str">
        <f>VLOOKUP(B51,Спартакиада!$B$4:$T$51,19,0)</f>
        <v>36-40</v>
      </c>
      <c r="V51" s="156">
        <f>VLOOKUP(U51,Очки!$A$2:$B$112,2,0)</f>
        <v>0</v>
      </c>
      <c r="W51" s="157">
        <f>VLOOKUP(B51,Спартакиада!$B$4:$T$51,10,0)</f>
        <v>7</v>
      </c>
      <c r="X51" s="157">
        <f>VLOOKUP(B51,Спартакиада!$B$4:$T$51,18,0)</f>
        <v>2</v>
      </c>
      <c r="Y51" s="156">
        <f>ROUND(10*X51/(W51*2),1)</f>
        <v>1.4</v>
      </c>
      <c r="Z51" s="409">
        <f>V51+Y51</f>
        <v>1.4</v>
      </c>
      <c r="AA51" s="158"/>
      <c r="AB51" s="159"/>
      <c r="AC51" s="160"/>
      <c r="AD51" s="160"/>
      <c r="AE51" s="156"/>
      <c r="AF51" s="161"/>
      <c r="AG51" s="419">
        <f t="shared" si="17"/>
        <v>1.4</v>
      </c>
    </row>
    <row r="52" spans="1:33" ht="13.5" thickBot="1">
      <c r="A52" s="7">
        <v>49</v>
      </c>
      <c r="B52" s="193" t="s">
        <v>541</v>
      </c>
      <c r="C52" s="155"/>
      <c r="D52" s="156"/>
      <c r="E52" s="157"/>
      <c r="F52" s="157"/>
      <c r="G52" s="156"/>
      <c r="H52" s="409"/>
      <c r="I52" s="158"/>
      <c r="J52" s="156"/>
      <c r="K52" s="171"/>
      <c r="L52" s="171"/>
      <c r="M52" s="180"/>
      <c r="N52" s="161"/>
      <c r="O52" s="155"/>
      <c r="P52" s="156"/>
      <c r="Q52" s="157"/>
      <c r="R52" s="157"/>
      <c r="S52" s="156"/>
      <c r="T52" s="409"/>
      <c r="U52" s="155" t="str">
        <f>VLOOKUP(B52,Спартакиада!$B$4:$T$51,19,0)</f>
        <v>36-40</v>
      </c>
      <c r="V52" s="156">
        <f>VLOOKUP(U52,Очки!$A$2:$B$112,2,0)</f>
        <v>0</v>
      </c>
      <c r="W52" s="157">
        <f>VLOOKUP(B52,Спартакиада!$B$4:$T$51,10,0)</f>
        <v>7</v>
      </c>
      <c r="X52" s="157">
        <f>VLOOKUP(B52,Спартакиада!$B$4:$T$51,18,0)</f>
        <v>2</v>
      </c>
      <c r="Y52" s="156">
        <f>ROUND(10*X52/(W52*2),1)</f>
        <v>1.4</v>
      </c>
      <c r="Z52" s="409">
        <f>V52+Y52</f>
        <v>1.4</v>
      </c>
      <c r="AA52" s="158"/>
      <c r="AB52" s="159"/>
      <c r="AC52" s="160"/>
      <c r="AD52" s="160"/>
      <c r="AE52" s="156"/>
      <c r="AF52" s="161"/>
      <c r="AG52" s="419">
        <f t="shared" si="17"/>
        <v>1.4</v>
      </c>
    </row>
    <row r="53" spans="1:33" ht="13.5" thickBot="1">
      <c r="A53" s="6">
        <v>50</v>
      </c>
      <c r="B53" s="193" t="s">
        <v>177</v>
      </c>
      <c r="C53" s="155"/>
      <c r="D53" s="156"/>
      <c r="E53" s="157"/>
      <c r="F53" s="157"/>
      <c r="G53" s="156"/>
      <c r="H53" s="409"/>
      <c r="I53" s="158"/>
      <c r="J53" s="156"/>
      <c r="K53" s="171"/>
      <c r="L53" s="171"/>
      <c r="M53" s="180"/>
      <c r="N53" s="161"/>
      <c r="O53" s="155"/>
      <c r="P53" s="156"/>
      <c r="Q53" s="157"/>
      <c r="R53" s="157"/>
      <c r="S53" s="156"/>
      <c r="T53" s="409"/>
      <c r="U53" s="155" t="str">
        <f>VLOOKUP(B53,Спартакиада!$B$4:$T$51,19,0)</f>
        <v>36-40</v>
      </c>
      <c r="V53" s="156">
        <f>VLOOKUP(U53,Очки!$A$2:$B$112,2,0)</f>
        <v>0</v>
      </c>
      <c r="W53" s="157">
        <f>VLOOKUP(B53,Спартакиада!$B$4:$T$51,10,0)</f>
        <v>7</v>
      </c>
      <c r="X53" s="157">
        <f>VLOOKUP(B53,Спартакиада!$B$4:$T$51,18,0)</f>
        <v>2</v>
      </c>
      <c r="Y53" s="156">
        <f>ROUND(10*X53/(W53*2),1)</f>
        <v>1.4</v>
      </c>
      <c r="Z53" s="409">
        <f>V53+Y53</f>
        <v>1.4</v>
      </c>
      <c r="AA53" s="158"/>
      <c r="AB53" s="159"/>
      <c r="AC53" s="160"/>
      <c r="AD53" s="160"/>
      <c r="AE53" s="156"/>
      <c r="AF53" s="161"/>
      <c r="AG53" s="419">
        <f t="shared" si="17"/>
        <v>1.4</v>
      </c>
    </row>
    <row r="55" spans="1:2" ht="12.75">
      <c r="A55" s="52"/>
      <c r="B55" s="4" t="s">
        <v>506</v>
      </c>
    </row>
  </sheetData>
  <sheetProtection/>
  <autoFilter ref="A3:AM53"/>
  <mergeCells count="10">
    <mergeCell ref="AH2:AH3"/>
    <mergeCell ref="A1:AG1"/>
    <mergeCell ref="A2:A3"/>
    <mergeCell ref="B2:B3"/>
    <mergeCell ref="AG2:AG3"/>
    <mergeCell ref="C2:F2"/>
    <mergeCell ref="I2:L2"/>
    <mergeCell ref="AA2:AD2"/>
    <mergeCell ref="O2:T2"/>
    <mergeCell ref="U2:Z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zoomScalePageLayoutView="0" workbookViewId="0" topLeftCell="A1">
      <selection activeCell="B40" sqref="B40:B55"/>
    </sheetView>
  </sheetViews>
  <sheetFormatPr defaultColWidth="9.140625" defaultRowHeight="15"/>
  <cols>
    <col min="1" max="1" width="6.140625" style="0" customWidth="1"/>
    <col min="2" max="2" width="29.140625" style="0" customWidth="1"/>
    <col min="3" max="3" width="9.140625" style="1" customWidth="1"/>
    <col min="4" max="4" width="10.28125" style="1" customWidth="1"/>
    <col min="5" max="15" width="9.140625" style="1" customWidth="1"/>
    <col min="16" max="17" width="9.421875" style="45" bestFit="1" customWidth="1"/>
  </cols>
  <sheetData>
    <row r="1" ht="15" customHeight="1">
      <c r="B1" s="3" t="s">
        <v>331</v>
      </c>
    </row>
    <row r="3" spans="1:17" ht="15">
      <c r="A3" s="375" t="s">
        <v>0</v>
      </c>
      <c r="B3" s="375" t="s">
        <v>89</v>
      </c>
      <c r="C3" s="375">
        <v>1</v>
      </c>
      <c r="D3" s="375">
        <v>2</v>
      </c>
      <c r="E3" s="375">
        <v>3</v>
      </c>
      <c r="F3" s="375">
        <v>4</v>
      </c>
      <c r="G3" s="375">
        <v>5</v>
      </c>
      <c r="H3" s="375">
        <v>6</v>
      </c>
      <c r="I3" s="375">
        <v>7</v>
      </c>
      <c r="J3" s="375" t="s">
        <v>1</v>
      </c>
      <c r="K3" s="375" t="s">
        <v>2</v>
      </c>
      <c r="L3" s="375" t="s">
        <v>3</v>
      </c>
      <c r="M3" s="375" t="s">
        <v>4</v>
      </c>
      <c r="N3" s="375" t="s">
        <v>97</v>
      </c>
      <c r="O3" s="375" t="s">
        <v>6</v>
      </c>
      <c r="P3" s="376" t="s">
        <v>199</v>
      </c>
      <c r="Q3" s="376" t="s">
        <v>26</v>
      </c>
    </row>
    <row r="4" spans="1:19" ht="15" customHeight="1">
      <c r="A4" s="377">
        <v>1</v>
      </c>
      <c r="B4" s="378" t="s">
        <v>178</v>
      </c>
      <c r="C4" s="379"/>
      <c r="D4" s="380">
        <v>0.1277777777777778</v>
      </c>
      <c r="E4" s="381">
        <v>0.12569444444444444</v>
      </c>
      <c r="F4" s="381">
        <v>0.29444444444444445</v>
      </c>
      <c r="G4" s="381">
        <v>0.2111111111111111</v>
      </c>
      <c r="H4" s="381">
        <v>0.2923611111111111</v>
      </c>
      <c r="I4" s="381">
        <v>0.41805555555555557</v>
      </c>
      <c r="J4" s="382">
        <v>6</v>
      </c>
      <c r="K4" s="382">
        <v>5</v>
      </c>
      <c r="L4" s="382">
        <v>0</v>
      </c>
      <c r="M4" s="382">
        <v>1</v>
      </c>
      <c r="N4" s="382" t="s">
        <v>332</v>
      </c>
      <c r="O4" s="382">
        <v>15</v>
      </c>
      <c r="P4" s="383">
        <f aca="true" t="shared" si="0" ref="P4:P9">K4*2+L4</f>
        <v>10</v>
      </c>
      <c r="Q4" s="384">
        <v>16</v>
      </c>
      <c r="S4" t="str">
        <f>VLOOKUP(B4,Лист1!$B$4:$B$53,1,0)</f>
        <v>eurocups.ru</v>
      </c>
    </row>
    <row r="5" spans="1:19" ht="15" customHeight="1">
      <c r="A5" s="377">
        <v>2</v>
      </c>
      <c r="B5" s="378" t="s">
        <v>132</v>
      </c>
      <c r="C5" s="381">
        <v>0.16874999999999998</v>
      </c>
      <c r="D5" s="379"/>
      <c r="E5" s="381">
        <v>0.2513888888888889</v>
      </c>
      <c r="F5" s="381">
        <v>0.1673611111111111</v>
      </c>
      <c r="G5" s="380">
        <v>0.1729166666666667</v>
      </c>
      <c r="H5" s="381">
        <v>0.16805555555555554</v>
      </c>
      <c r="I5" s="380">
        <v>0.002777777777777778</v>
      </c>
      <c r="J5" s="382">
        <v>6</v>
      </c>
      <c r="K5" s="382">
        <v>4</v>
      </c>
      <c r="L5" s="382">
        <v>0</v>
      </c>
      <c r="M5" s="382">
        <v>2</v>
      </c>
      <c r="N5" s="382" t="s">
        <v>315</v>
      </c>
      <c r="O5" s="382">
        <v>12</v>
      </c>
      <c r="P5" s="383">
        <f t="shared" si="0"/>
        <v>8</v>
      </c>
      <c r="Q5" s="384">
        <v>16</v>
      </c>
      <c r="S5" s="359" t="str">
        <f>VLOOKUP(B5,Лист1!$B$4:$B$53,1,0)</f>
        <v>ФК Форвард</v>
      </c>
    </row>
    <row r="6" spans="1:19" ht="15" customHeight="1">
      <c r="A6" s="377">
        <v>3</v>
      </c>
      <c r="B6" s="378" t="s">
        <v>126</v>
      </c>
      <c r="C6" s="380">
        <v>0.043750000000000004</v>
      </c>
      <c r="D6" s="380">
        <v>0.08750000000000001</v>
      </c>
      <c r="E6" s="379"/>
      <c r="F6" s="381">
        <v>0.25277777777777777</v>
      </c>
      <c r="G6" s="381">
        <v>0.3361111111111111</v>
      </c>
      <c r="H6" s="380">
        <v>0.17013888888888887</v>
      </c>
      <c r="I6" s="381">
        <v>0.29305555555555557</v>
      </c>
      <c r="J6" s="382">
        <v>6</v>
      </c>
      <c r="K6" s="382">
        <v>3</v>
      </c>
      <c r="L6" s="382">
        <v>0</v>
      </c>
      <c r="M6" s="382">
        <v>3</v>
      </c>
      <c r="N6" s="382" t="s">
        <v>333</v>
      </c>
      <c r="O6" s="382">
        <v>9</v>
      </c>
      <c r="P6" s="383">
        <f t="shared" si="0"/>
        <v>6</v>
      </c>
      <c r="Q6" s="384">
        <v>16</v>
      </c>
      <c r="S6" s="359" t="str">
        <f>VLOOKUP(B6,Лист1!$B$4:$B$53,1,0)</f>
        <v>Red Anfield</v>
      </c>
    </row>
    <row r="7" spans="1:19" ht="15.75" customHeight="1">
      <c r="A7" s="377">
        <v>4</v>
      </c>
      <c r="B7" s="378" t="s">
        <v>174</v>
      </c>
      <c r="C7" s="380">
        <v>0.17152777777777775</v>
      </c>
      <c r="D7" s="380">
        <v>0.044444444444444446</v>
      </c>
      <c r="E7" s="380">
        <v>0.1708333333333333</v>
      </c>
      <c r="F7" s="379"/>
      <c r="G7" s="381">
        <v>0.2534722222222222</v>
      </c>
      <c r="H7" s="381">
        <v>0.12638888888888888</v>
      </c>
      <c r="I7" s="381">
        <v>0.41805555555555557</v>
      </c>
      <c r="J7" s="382">
        <v>6</v>
      </c>
      <c r="K7" s="382">
        <v>3</v>
      </c>
      <c r="L7" s="382">
        <v>0</v>
      </c>
      <c r="M7" s="382">
        <v>3</v>
      </c>
      <c r="N7" s="382" t="s">
        <v>334</v>
      </c>
      <c r="O7" s="382">
        <v>9</v>
      </c>
      <c r="P7" s="383">
        <f t="shared" si="0"/>
        <v>6</v>
      </c>
      <c r="Q7" s="384">
        <v>16</v>
      </c>
      <c r="S7" s="359" t="str">
        <f>VLOOKUP(B7,Лист1!$B$4:$B$53,1,0)</f>
        <v>fpk-prognoz.ru</v>
      </c>
    </row>
    <row r="8" spans="1:19" ht="15.75" customHeight="1">
      <c r="A8" s="385">
        <v>5</v>
      </c>
      <c r="B8" s="386" t="s">
        <v>8</v>
      </c>
      <c r="C8" s="380">
        <v>0.17013888888888887</v>
      </c>
      <c r="D8" s="381">
        <v>0.37777777777777777</v>
      </c>
      <c r="E8" s="380">
        <v>0.17222222222222225</v>
      </c>
      <c r="F8" s="380">
        <v>0.2125</v>
      </c>
      <c r="G8" s="387"/>
      <c r="H8" s="381">
        <v>0.41944444444444445</v>
      </c>
      <c r="I8" s="388">
        <v>0.12708333333333333</v>
      </c>
      <c r="J8" s="389">
        <v>6</v>
      </c>
      <c r="K8" s="389">
        <v>2</v>
      </c>
      <c r="L8" s="389">
        <v>1</v>
      </c>
      <c r="M8" s="389">
        <v>3</v>
      </c>
      <c r="N8" s="389" t="s">
        <v>335</v>
      </c>
      <c r="O8" s="389">
        <v>7</v>
      </c>
      <c r="P8" s="383">
        <f>K8*2+L8</f>
        <v>5</v>
      </c>
      <c r="Q8" s="384" t="s">
        <v>75</v>
      </c>
      <c r="S8" s="359" t="str">
        <f>VLOOKUP(B8,Лист1!$B$4:$B$53,1,0)</f>
        <v>VOON.RU</v>
      </c>
    </row>
    <row r="9" spans="1:19" ht="15" customHeight="1">
      <c r="A9" s="385">
        <v>6</v>
      </c>
      <c r="B9" s="386" t="s">
        <v>22</v>
      </c>
      <c r="C9" s="380">
        <v>0.04652777777777778</v>
      </c>
      <c r="D9" s="380">
        <v>0.08611111111111112</v>
      </c>
      <c r="E9" s="381">
        <v>0.2111111111111111</v>
      </c>
      <c r="F9" s="380">
        <v>0.08541666666666665</v>
      </c>
      <c r="G9" s="380">
        <v>0.17361111111111113</v>
      </c>
      <c r="H9" s="387"/>
      <c r="I9" s="381">
        <v>0.2111111111111111</v>
      </c>
      <c r="J9" s="389">
        <v>6</v>
      </c>
      <c r="K9" s="389">
        <v>2</v>
      </c>
      <c r="L9" s="389">
        <v>0</v>
      </c>
      <c r="M9" s="389">
        <v>4</v>
      </c>
      <c r="N9" s="389" t="s">
        <v>336</v>
      </c>
      <c r="O9" s="389">
        <v>6</v>
      </c>
      <c r="P9" s="383">
        <f t="shared" si="0"/>
        <v>4</v>
      </c>
      <c r="Q9" s="384" t="s">
        <v>76</v>
      </c>
      <c r="S9" s="359" t="str">
        <f>VLOOKUP(B9,Лист1!$B$4:$B$53,1,0)</f>
        <v>PrimeGang</v>
      </c>
    </row>
    <row r="10" spans="1:19" ht="15" customHeight="1">
      <c r="A10" s="385">
        <v>7</v>
      </c>
      <c r="B10" s="386" t="s">
        <v>176</v>
      </c>
      <c r="C10" s="380">
        <v>0.09027777777777778</v>
      </c>
      <c r="D10" s="381">
        <v>0.16666666666666666</v>
      </c>
      <c r="E10" s="380">
        <v>0.08819444444444445</v>
      </c>
      <c r="F10" s="380">
        <v>0.09027777777777778</v>
      </c>
      <c r="G10" s="388">
        <v>0.12708333333333333</v>
      </c>
      <c r="H10" s="380">
        <v>0.17013888888888887</v>
      </c>
      <c r="I10" s="387"/>
      <c r="J10" s="389">
        <v>6</v>
      </c>
      <c r="K10" s="389">
        <v>1</v>
      </c>
      <c r="L10" s="389">
        <v>1</v>
      </c>
      <c r="M10" s="389">
        <v>4</v>
      </c>
      <c r="N10" s="389" t="s">
        <v>337</v>
      </c>
      <c r="O10" s="389">
        <v>4</v>
      </c>
      <c r="P10" s="383">
        <f>K10*2+L10</f>
        <v>3</v>
      </c>
      <c r="Q10" s="384" t="s">
        <v>74</v>
      </c>
      <c r="S10" s="359" t="str">
        <f>VLOOKUP(B10,Лист1!$B$4:$B$53,1,0)</f>
        <v>Хищники</v>
      </c>
    </row>
    <row r="11" spans="1:19" ht="15" customHeight="1">
      <c r="A11" s="366"/>
      <c r="B11" s="149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53"/>
      <c r="P11" s="353"/>
      <c r="Q11" s="353"/>
      <c r="S11" s="353"/>
    </row>
    <row r="12" spans="1:19" ht="15.75" customHeight="1">
      <c r="A12" s="360" t="s">
        <v>0</v>
      </c>
      <c r="B12" s="360" t="s">
        <v>90</v>
      </c>
      <c r="C12" s="360">
        <v>1</v>
      </c>
      <c r="D12" s="360">
        <v>2</v>
      </c>
      <c r="E12" s="360">
        <v>3</v>
      </c>
      <c r="F12" s="360">
        <v>4</v>
      </c>
      <c r="G12" s="360">
        <v>5</v>
      </c>
      <c r="H12" s="360">
        <v>6</v>
      </c>
      <c r="I12" s="360">
        <v>7</v>
      </c>
      <c r="J12" s="360" t="s">
        <v>1</v>
      </c>
      <c r="K12" s="360" t="s">
        <v>2</v>
      </c>
      <c r="L12" s="360" t="s">
        <v>3</v>
      </c>
      <c r="M12" s="360" t="s">
        <v>4</v>
      </c>
      <c r="N12" s="360" t="s">
        <v>97</v>
      </c>
      <c r="O12" s="360" t="s">
        <v>6</v>
      </c>
      <c r="P12" s="376" t="s">
        <v>199</v>
      </c>
      <c r="Q12" s="376" t="s">
        <v>26</v>
      </c>
      <c r="S12" s="359"/>
    </row>
    <row r="13" spans="1:19" ht="15" customHeight="1">
      <c r="A13" s="361">
        <v>1</v>
      </c>
      <c r="B13" s="362" t="s">
        <v>62</v>
      </c>
      <c r="C13" s="367"/>
      <c r="D13" s="368">
        <v>0.1708333333333333</v>
      </c>
      <c r="E13" s="369">
        <v>0.16805555555555554</v>
      </c>
      <c r="F13" s="369">
        <v>0.12638888888888888</v>
      </c>
      <c r="G13" s="369">
        <v>0.16666666666666666</v>
      </c>
      <c r="H13" s="369">
        <v>0.3361111111111111</v>
      </c>
      <c r="I13" s="369">
        <v>0.125</v>
      </c>
      <c r="J13" s="370">
        <v>6</v>
      </c>
      <c r="K13" s="370">
        <v>5</v>
      </c>
      <c r="L13" s="370">
        <v>0</v>
      </c>
      <c r="M13" s="370">
        <v>1</v>
      </c>
      <c r="N13" s="370" t="s">
        <v>338</v>
      </c>
      <c r="O13" s="370">
        <v>15</v>
      </c>
      <c r="P13" s="383">
        <f>K13*2+L13</f>
        <v>10</v>
      </c>
      <c r="Q13" s="384">
        <v>16</v>
      </c>
      <c r="S13" s="359" t="str">
        <f>VLOOKUP(B13,Лист1!$B$4:$B$53,1,0)</f>
        <v>Kanonir.Com</v>
      </c>
    </row>
    <row r="14" spans="1:19" ht="15" customHeight="1">
      <c r="A14" s="361">
        <v>2</v>
      </c>
      <c r="B14" s="362" t="s">
        <v>9</v>
      </c>
      <c r="C14" s="369">
        <v>0.25277777777777777</v>
      </c>
      <c r="D14" s="367"/>
      <c r="E14" s="368">
        <v>0.1277777777777778</v>
      </c>
      <c r="F14" s="369">
        <v>0.3770833333333334</v>
      </c>
      <c r="G14" s="369">
        <v>0.3340277777777778</v>
      </c>
      <c r="H14" s="368">
        <v>0.21319444444444444</v>
      </c>
      <c r="I14" s="369">
        <v>0.125</v>
      </c>
      <c r="J14" s="370">
        <v>6</v>
      </c>
      <c r="K14" s="370">
        <v>4</v>
      </c>
      <c r="L14" s="370">
        <v>0</v>
      </c>
      <c r="M14" s="370">
        <v>2</v>
      </c>
      <c r="N14" s="370" t="s">
        <v>339</v>
      </c>
      <c r="O14" s="370">
        <v>12</v>
      </c>
      <c r="P14" s="383">
        <f>K14*2+L14</f>
        <v>8</v>
      </c>
      <c r="Q14" s="384">
        <v>16</v>
      </c>
      <c r="S14" s="359" t="str">
        <f>VLOOKUP(B14,Лист1!$B$4:$B$53,1,0)</f>
        <v>Fprognoz.com</v>
      </c>
    </row>
    <row r="15" spans="1:19" ht="15" customHeight="1">
      <c r="A15" s="361">
        <v>3</v>
      </c>
      <c r="B15" s="362" t="s">
        <v>128</v>
      </c>
      <c r="C15" s="368">
        <v>0.08611111111111112</v>
      </c>
      <c r="D15" s="369">
        <v>0.16874999999999998</v>
      </c>
      <c r="E15" s="367"/>
      <c r="F15" s="369">
        <v>0.25277777777777777</v>
      </c>
      <c r="G15" s="368">
        <v>0.09027777777777778</v>
      </c>
      <c r="H15" s="369">
        <v>0.21041666666666667</v>
      </c>
      <c r="I15" s="369">
        <v>0.125</v>
      </c>
      <c r="J15" s="370">
        <v>6</v>
      </c>
      <c r="K15" s="370">
        <v>4</v>
      </c>
      <c r="L15" s="370">
        <v>0</v>
      </c>
      <c r="M15" s="370">
        <v>2</v>
      </c>
      <c r="N15" s="370" t="s">
        <v>165</v>
      </c>
      <c r="O15" s="370">
        <v>12</v>
      </c>
      <c r="P15" s="383">
        <f>K15*2+L15</f>
        <v>8</v>
      </c>
      <c r="Q15" s="384">
        <v>16</v>
      </c>
      <c r="S15" s="359" t="str">
        <f>VLOOKUP(B15,Лист1!$B$4:$B$53,1,0)</f>
        <v>Профессионалы прогноза</v>
      </c>
    </row>
    <row r="16" spans="1:19" ht="15.75" customHeight="1">
      <c r="A16" s="361">
        <v>4</v>
      </c>
      <c r="B16" s="362" t="s">
        <v>60</v>
      </c>
      <c r="C16" s="368">
        <v>0.08541666666666665</v>
      </c>
      <c r="D16" s="368">
        <v>0.13125</v>
      </c>
      <c r="E16" s="368">
        <v>0.1708333333333333</v>
      </c>
      <c r="F16" s="367"/>
      <c r="G16" s="369">
        <v>0.25</v>
      </c>
      <c r="H16" s="369">
        <v>0.3770833333333334</v>
      </c>
      <c r="I16" s="369">
        <v>0.125</v>
      </c>
      <c r="J16" s="370">
        <v>6</v>
      </c>
      <c r="K16" s="370">
        <v>3</v>
      </c>
      <c r="L16" s="370">
        <v>0</v>
      </c>
      <c r="M16" s="370">
        <v>3</v>
      </c>
      <c r="N16" s="370" t="s">
        <v>325</v>
      </c>
      <c r="O16" s="370">
        <v>9</v>
      </c>
      <c r="P16" s="383">
        <f>K16*2+L16</f>
        <v>6</v>
      </c>
      <c r="Q16" s="384">
        <v>16</v>
      </c>
      <c r="S16" s="359" t="str">
        <f>VLOOKUP(B16,Лист1!$B$4:$B$53,1,0)</f>
        <v>Чемпионат Прогнозов</v>
      </c>
    </row>
    <row r="17" spans="1:19" ht="15.75" customHeight="1">
      <c r="A17" s="363">
        <v>5</v>
      </c>
      <c r="B17" s="364" t="s">
        <v>168</v>
      </c>
      <c r="C17" s="368">
        <v>0.002777777777777778</v>
      </c>
      <c r="D17" s="368">
        <v>0.04722222222222222</v>
      </c>
      <c r="E17" s="369">
        <v>0.41805555555555557</v>
      </c>
      <c r="F17" s="368">
        <v>0.004166666666666667</v>
      </c>
      <c r="G17" s="371"/>
      <c r="H17" s="369">
        <v>0.25069444444444444</v>
      </c>
      <c r="I17" s="369">
        <v>0.3756944444444445</v>
      </c>
      <c r="J17" s="365">
        <v>6</v>
      </c>
      <c r="K17" s="365">
        <v>3</v>
      </c>
      <c r="L17" s="365">
        <v>0</v>
      </c>
      <c r="M17" s="365">
        <v>3</v>
      </c>
      <c r="N17" s="365" t="s">
        <v>340</v>
      </c>
      <c r="O17" s="365">
        <v>9</v>
      </c>
      <c r="P17" s="383">
        <f>K17*2+L17</f>
        <v>6</v>
      </c>
      <c r="Q17" s="384" t="s">
        <v>75</v>
      </c>
      <c r="S17" s="359" t="str">
        <f>VLOOKUP(B17,Лист1!$B$4:$B$53,1,0)</f>
        <v>SaSiSa</v>
      </c>
    </row>
    <row r="18" spans="1:19" ht="15" customHeight="1">
      <c r="A18" s="363">
        <v>6</v>
      </c>
      <c r="B18" s="364" t="s">
        <v>200</v>
      </c>
      <c r="C18" s="368">
        <v>0.17222222222222225</v>
      </c>
      <c r="D18" s="369">
        <v>0.2951388888888889</v>
      </c>
      <c r="E18" s="368">
        <v>0.12847222222222224</v>
      </c>
      <c r="F18" s="368">
        <v>0.13125</v>
      </c>
      <c r="G18" s="368">
        <v>0.04583333333333334</v>
      </c>
      <c r="H18" s="371"/>
      <c r="I18" s="369">
        <v>0.125</v>
      </c>
      <c r="J18" s="365">
        <v>6</v>
      </c>
      <c r="K18" s="365">
        <v>2</v>
      </c>
      <c r="L18" s="365">
        <v>0</v>
      </c>
      <c r="M18" s="365">
        <v>4</v>
      </c>
      <c r="N18" s="365" t="s">
        <v>330</v>
      </c>
      <c r="O18" s="365">
        <v>6</v>
      </c>
      <c r="P18" s="383">
        <f>K18*2+L18</f>
        <v>4</v>
      </c>
      <c r="Q18" s="384" t="s">
        <v>76</v>
      </c>
      <c r="S18" s="359" t="str">
        <f>VLOOKUP(B18,Лист1!$B$4:$B$53,1,0)</f>
        <v>Спартанцы IT</v>
      </c>
    </row>
    <row r="19" spans="1:19" ht="15" customHeight="1">
      <c r="A19" s="363">
        <v>7</v>
      </c>
      <c r="B19" s="364" t="s">
        <v>348</v>
      </c>
      <c r="C19" s="368">
        <v>0.0020833333333333333</v>
      </c>
      <c r="D19" s="368">
        <v>0.0020833333333333333</v>
      </c>
      <c r="E19" s="368">
        <v>0.0020833333333333333</v>
      </c>
      <c r="F19" s="368">
        <v>0.0020833333333333333</v>
      </c>
      <c r="G19" s="368">
        <v>0.04791666666666666</v>
      </c>
      <c r="H19" s="368">
        <v>0.0020833333333333333</v>
      </c>
      <c r="I19" s="371"/>
      <c r="J19" s="365">
        <v>6</v>
      </c>
      <c r="K19" s="365">
        <v>0</v>
      </c>
      <c r="L19" s="365">
        <v>0</v>
      </c>
      <c r="M19" s="365">
        <v>6</v>
      </c>
      <c r="N19" s="374">
        <v>45292</v>
      </c>
      <c r="O19" s="365">
        <v>-5</v>
      </c>
      <c r="P19" s="383">
        <f>K19*2+L19</f>
        <v>0</v>
      </c>
      <c r="Q19" s="384" t="s">
        <v>74</v>
      </c>
      <c r="S19" s="359" t="str">
        <f>VLOOKUP(B19,Лист1!$B$4:$B$53,1,0)</f>
        <v>Odessa United</v>
      </c>
    </row>
    <row r="20" spans="1:19" ht="15" customHeight="1">
      <c r="A20" s="366"/>
      <c r="B20" s="149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53"/>
      <c r="Q20" s="353"/>
      <c r="S20" s="359"/>
    </row>
    <row r="21" spans="1:19" ht="15.75" customHeight="1">
      <c r="A21" s="360" t="s">
        <v>0</v>
      </c>
      <c r="B21" s="360" t="s">
        <v>91</v>
      </c>
      <c r="C21" s="360">
        <v>1</v>
      </c>
      <c r="D21" s="360">
        <v>2</v>
      </c>
      <c r="E21" s="360">
        <v>3</v>
      </c>
      <c r="F21" s="360">
        <v>4</v>
      </c>
      <c r="G21" s="360">
        <v>5</v>
      </c>
      <c r="H21" s="360">
        <v>6</v>
      </c>
      <c r="I21" s="360">
        <v>7</v>
      </c>
      <c r="J21" s="360" t="s">
        <v>1</v>
      </c>
      <c r="K21" s="360" t="s">
        <v>2</v>
      </c>
      <c r="L21" s="360" t="s">
        <v>3</v>
      </c>
      <c r="M21" s="360" t="s">
        <v>4</v>
      </c>
      <c r="N21" s="360" t="s">
        <v>97</v>
      </c>
      <c r="O21" s="360" t="s">
        <v>6</v>
      </c>
      <c r="P21" s="376" t="s">
        <v>199</v>
      </c>
      <c r="Q21" s="376" t="s">
        <v>26</v>
      </c>
      <c r="S21" s="359"/>
    </row>
    <row r="22" spans="1:19" ht="15" customHeight="1">
      <c r="A22" s="361">
        <v>1</v>
      </c>
      <c r="B22" s="362" t="s">
        <v>125</v>
      </c>
      <c r="C22" s="367"/>
      <c r="D22" s="369">
        <v>0.29375</v>
      </c>
      <c r="E22" s="372">
        <v>0.12708333333333333</v>
      </c>
      <c r="F22" s="372">
        <v>0.16944444444444443</v>
      </c>
      <c r="G22" s="372">
        <v>0.21180555555555555</v>
      </c>
      <c r="H22" s="369">
        <v>0.2951388888888889</v>
      </c>
      <c r="I22" s="369">
        <v>0.375</v>
      </c>
      <c r="J22" s="370">
        <v>6</v>
      </c>
      <c r="K22" s="370">
        <v>3</v>
      </c>
      <c r="L22" s="370">
        <v>3</v>
      </c>
      <c r="M22" s="370">
        <v>0</v>
      </c>
      <c r="N22" s="370" t="s">
        <v>341</v>
      </c>
      <c r="O22" s="370">
        <v>12</v>
      </c>
      <c r="P22" s="383">
        <f>K22*2+L22</f>
        <v>9</v>
      </c>
      <c r="Q22" s="384">
        <v>16</v>
      </c>
      <c r="S22" s="359" t="str">
        <f>VLOOKUP(B22,Лист1!$B$4:$B$53,1,0)</f>
        <v>КФП "Арсенал"</v>
      </c>
    </row>
    <row r="23" spans="1:19" ht="15" customHeight="1">
      <c r="A23" s="361">
        <v>2</v>
      </c>
      <c r="B23" s="362" t="s">
        <v>127</v>
      </c>
      <c r="C23" s="368">
        <v>0.12986111111111112</v>
      </c>
      <c r="D23" s="367"/>
      <c r="E23" s="368">
        <v>0.13125</v>
      </c>
      <c r="F23" s="372">
        <v>0.16944444444444443</v>
      </c>
      <c r="G23" s="369">
        <v>0.20972222222222223</v>
      </c>
      <c r="H23" s="369">
        <v>0.21041666666666667</v>
      </c>
      <c r="I23" s="369">
        <v>0.1673611111111111</v>
      </c>
      <c r="J23" s="370">
        <v>6</v>
      </c>
      <c r="K23" s="370">
        <v>3</v>
      </c>
      <c r="L23" s="370">
        <v>1</v>
      </c>
      <c r="M23" s="370">
        <v>2</v>
      </c>
      <c r="N23" s="370" t="s">
        <v>317</v>
      </c>
      <c r="O23" s="370">
        <v>10</v>
      </c>
      <c r="P23" s="383">
        <f>K23*2+L23</f>
        <v>7</v>
      </c>
      <c r="Q23" s="384">
        <v>16</v>
      </c>
      <c r="S23" s="359" t="str">
        <f>VLOOKUP(B23,Лист1!$B$4:$B$53,1,0)</f>
        <v>Жемчужина Кузбасса</v>
      </c>
    </row>
    <row r="24" spans="1:19" ht="15" customHeight="1">
      <c r="A24" s="361">
        <v>3</v>
      </c>
      <c r="B24" s="362" t="s">
        <v>67</v>
      </c>
      <c r="C24" s="372">
        <v>0.12708333333333333</v>
      </c>
      <c r="D24" s="369">
        <v>0.3770833333333334</v>
      </c>
      <c r="E24" s="367"/>
      <c r="F24" s="368">
        <v>0.04722222222222222</v>
      </c>
      <c r="G24" s="369">
        <v>0.2513888888888889</v>
      </c>
      <c r="H24" s="369">
        <v>0.2111111111111111</v>
      </c>
      <c r="I24" s="368">
        <v>0.08958333333333333</v>
      </c>
      <c r="J24" s="370">
        <v>6</v>
      </c>
      <c r="K24" s="370">
        <v>3</v>
      </c>
      <c r="L24" s="370">
        <v>1</v>
      </c>
      <c r="M24" s="370">
        <v>2</v>
      </c>
      <c r="N24" s="370" t="s">
        <v>321</v>
      </c>
      <c r="O24" s="370">
        <v>10</v>
      </c>
      <c r="P24" s="383">
        <f>K24*2+L24</f>
        <v>7</v>
      </c>
      <c r="Q24" s="384">
        <v>16</v>
      </c>
      <c r="S24" s="359" t="str">
        <f>VLOOKUP(B24,Лист1!$B$4:$B$53,1,0)</f>
        <v>SFP</v>
      </c>
    </row>
    <row r="25" spans="1:19" ht="15.75" customHeight="1">
      <c r="A25" s="361">
        <v>4</v>
      </c>
      <c r="B25" s="362" t="s">
        <v>124</v>
      </c>
      <c r="C25" s="372">
        <v>0.16944444444444443</v>
      </c>
      <c r="D25" s="372">
        <v>0.16944444444444443</v>
      </c>
      <c r="E25" s="369">
        <v>0.3340277777777778</v>
      </c>
      <c r="F25" s="367"/>
      <c r="G25" s="368">
        <v>0.044444444444444446</v>
      </c>
      <c r="H25" s="368">
        <v>0.17013888888888887</v>
      </c>
      <c r="I25" s="369">
        <v>0.125</v>
      </c>
      <c r="J25" s="370">
        <v>6</v>
      </c>
      <c r="K25" s="370">
        <v>2</v>
      </c>
      <c r="L25" s="370">
        <v>2</v>
      </c>
      <c r="M25" s="370">
        <v>2</v>
      </c>
      <c r="N25" s="370" t="s">
        <v>210</v>
      </c>
      <c r="O25" s="370">
        <v>8</v>
      </c>
      <c r="P25" s="383">
        <f>K25*2+L25</f>
        <v>6</v>
      </c>
      <c r="Q25" s="384">
        <v>16</v>
      </c>
      <c r="S25" s="359" t="str">
        <f>VLOOKUP(B25,Лист1!$B$4:$B$53,1,0)</f>
        <v>КЛФП "Харьков"</v>
      </c>
    </row>
    <row r="26" spans="1:19" ht="15.75" customHeight="1">
      <c r="A26" s="363">
        <v>5</v>
      </c>
      <c r="B26" s="364" t="s">
        <v>86</v>
      </c>
      <c r="C26" s="372">
        <v>0.21180555555555555</v>
      </c>
      <c r="D26" s="368">
        <v>0.08680555555555557</v>
      </c>
      <c r="E26" s="368">
        <v>0.08750000000000001</v>
      </c>
      <c r="F26" s="369">
        <v>0.1673611111111111</v>
      </c>
      <c r="G26" s="371"/>
      <c r="H26" s="369">
        <v>0.2520833333333333</v>
      </c>
      <c r="I26" s="368">
        <v>0.08611111111111112</v>
      </c>
      <c r="J26" s="365">
        <v>6</v>
      </c>
      <c r="K26" s="365">
        <v>2</v>
      </c>
      <c r="L26" s="365">
        <v>1</v>
      </c>
      <c r="M26" s="365">
        <v>3</v>
      </c>
      <c r="N26" s="365" t="s">
        <v>76</v>
      </c>
      <c r="O26" s="365">
        <v>7</v>
      </c>
      <c r="P26" s="383">
        <f>K26*2+L26</f>
        <v>5</v>
      </c>
      <c r="Q26" s="384" t="s">
        <v>75</v>
      </c>
      <c r="S26" s="359" t="str">
        <f>VLOOKUP(B26,Лист1!$B$4:$B$53,1,0)</f>
        <v>Красно-Белый Израиль (КБИ)</v>
      </c>
    </row>
    <row r="27" spans="1:19" ht="15" customHeight="1">
      <c r="A27" s="363">
        <v>6</v>
      </c>
      <c r="B27" s="364" t="s">
        <v>198</v>
      </c>
      <c r="C27" s="368">
        <v>0.21319444444444444</v>
      </c>
      <c r="D27" s="368">
        <v>0.12847222222222224</v>
      </c>
      <c r="E27" s="368">
        <v>0.17013888888888887</v>
      </c>
      <c r="F27" s="369">
        <v>0.2111111111111111</v>
      </c>
      <c r="G27" s="368">
        <v>0.12916666666666668</v>
      </c>
      <c r="H27" s="371"/>
      <c r="I27" s="369">
        <v>0.25</v>
      </c>
      <c r="J27" s="365">
        <v>6</v>
      </c>
      <c r="K27" s="365">
        <v>2</v>
      </c>
      <c r="L27" s="365">
        <v>0</v>
      </c>
      <c r="M27" s="365">
        <v>4</v>
      </c>
      <c r="N27" s="365" t="s">
        <v>318</v>
      </c>
      <c r="O27" s="365">
        <v>6</v>
      </c>
      <c r="P27" s="383">
        <f>K27*2+L27</f>
        <v>4</v>
      </c>
      <c r="Q27" s="384" t="s">
        <v>76</v>
      </c>
      <c r="S27" s="359" t="str">
        <f>VLOOKUP(B27,Лист1!$B$4:$B$53,1,0)</f>
        <v>Убийцы</v>
      </c>
    </row>
    <row r="28" spans="1:19" ht="15" customHeight="1">
      <c r="A28" s="363">
        <v>7</v>
      </c>
      <c r="B28" s="364" t="s">
        <v>13</v>
      </c>
      <c r="C28" s="368">
        <v>0.0062499999999999995</v>
      </c>
      <c r="D28" s="368">
        <v>0.044444444444444446</v>
      </c>
      <c r="E28" s="369">
        <v>0.3763888888888889</v>
      </c>
      <c r="F28" s="368">
        <v>0.0020833333333333333</v>
      </c>
      <c r="G28" s="369">
        <v>0.16805555555555554</v>
      </c>
      <c r="H28" s="368">
        <v>0.004166666666666667</v>
      </c>
      <c r="I28" s="371"/>
      <c r="J28" s="365">
        <v>6</v>
      </c>
      <c r="K28" s="365">
        <v>2</v>
      </c>
      <c r="L28" s="365">
        <v>0</v>
      </c>
      <c r="M28" s="365">
        <v>4</v>
      </c>
      <c r="N28" s="365" t="s">
        <v>342</v>
      </c>
      <c r="O28" s="365">
        <v>6</v>
      </c>
      <c r="P28" s="383">
        <f>K28*2+L28</f>
        <v>4</v>
      </c>
      <c r="Q28" s="384" t="s">
        <v>74</v>
      </c>
      <c r="S28" s="359" t="str">
        <f>VLOOKUP(B28,Лист1!$B$4:$B$53,1,0)</f>
        <v>Onedivision</v>
      </c>
    </row>
    <row r="29" spans="1:19" ht="15" customHeight="1">
      <c r="A29" s="366"/>
      <c r="B29" s="149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53"/>
      <c r="Q29" s="353"/>
      <c r="S29" s="359"/>
    </row>
    <row r="30" spans="1:19" ht="15.75" customHeight="1">
      <c r="A30" s="360" t="s">
        <v>0</v>
      </c>
      <c r="B30" s="360" t="s">
        <v>92</v>
      </c>
      <c r="C30" s="360">
        <v>1</v>
      </c>
      <c r="D30" s="360">
        <v>2</v>
      </c>
      <c r="E30" s="360">
        <v>3</v>
      </c>
      <c r="F30" s="360">
        <v>4</v>
      </c>
      <c r="G30" s="360">
        <v>5</v>
      </c>
      <c r="H30" s="360">
        <v>6</v>
      </c>
      <c r="I30" s="360">
        <v>7</v>
      </c>
      <c r="J30" s="360" t="s">
        <v>1</v>
      </c>
      <c r="K30" s="360" t="s">
        <v>2</v>
      </c>
      <c r="L30" s="360" t="s">
        <v>3</v>
      </c>
      <c r="M30" s="360" t="s">
        <v>4</v>
      </c>
      <c r="N30" s="360" t="s">
        <v>97</v>
      </c>
      <c r="O30" s="360" t="s">
        <v>6</v>
      </c>
      <c r="P30" s="376" t="s">
        <v>199</v>
      </c>
      <c r="Q30" s="376" t="s">
        <v>26</v>
      </c>
      <c r="S30" s="359"/>
    </row>
    <row r="31" spans="1:19" ht="15" customHeight="1">
      <c r="A31" s="361">
        <v>1</v>
      </c>
      <c r="B31" s="362" t="s">
        <v>11</v>
      </c>
      <c r="C31" s="367"/>
      <c r="D31" s="368">
        <v>0.2548611111111111</v>
      </c>
      <c r="E31" s="369">
        <v>0.16874999999999998</v>
      </c>
      <c r="F31" s="372">
        <v>0.21180555555555555</v>
      </c>
      <c r="G31" s="369">
        <v>0.16874999999999998</v>
      </c>
      <c r="H31" s="369">
        <v>0.08333333333333333</v>
      </c>
      <c r="I31" s="369">
        <v>0.2111111111111111</v>
      </c>
      <c r="J31" s="370">
        <v>6</v>
      </c>
      <c r="K31" s="370">
        <v>4</v>
      </c>
      <c r="L31" s="370">
        <v>1</v>
      </c>
      <c r="M31" s="370">
        <v>1</v>
      </c>
      <c r="N31" s="370" t="s">
        <v>340</v>
      </c>
      <c r="O31" s="370">
        <v>13</v>
      </c>
      <c r="P31" s="383">
        <f>K31*2+L31</f>
        <v>9</v>
      </c>
      <c r="Q31" s="384">
        <v>16</v>
      </c>
      <c r="S31" s="359" t="str">
        <f>VLOOKUP(B31,Лист1!$B$4:$B$53,1,0)</f>
        <v>liga1.ru</v>
      </c>
    </row>
    <row r="32" spans="1:19" ht="15" customHeight="1">
      <c r="A32" s="361">
        <v>2</v>
      </c>
      <c r="B32" s="362" t="s">
        <v>201</v>
      </c>
      <c r="C32" s="369">
        <v>0.29583333333333334</v>
      </c>
      <c r="D32" s="367"/>
      <c r="E32" s="369">
        <v>0.16805555555555554</v>
      </c>
      <c r="F32" s="369">
        <v>0.16874999999999998</v>
      </c>
      <c r="G32" s="372">
        <v>0.16944444444444443</v>
      </c>
      <c r="H32" s="368">
        <v>0.008333333333333333</v>
      </c>
      <c r="I32" s="369">
        <v>0.3354166666666667</v>
      </c>
      <c r="J32" s="370">
        <v>6</v>
      </c>
      <c r="K32" s="370">
        <v>4</v>
      </c>
      <c r="L32" s="370">
        <v>1</v>
      </c>
      <c r="M32" s="370">
        <v>1</v>
      </c>
      <c r="N32" s="370" t="s">
        <v>228</v>
      </c>
      <c r="O32" s="370">
        <v>13</v>
      </c>
      <c r="P32" s="383">
        <f>K32*2+L32</f>
        <v>9</v>
      </c>
      <c r="Q32" s="384">
        <v>16</v>
      </c>
      <c r="S32" s="359" t="str">
        <f>VLOOKUP(B32,Лист1!$B$4:$B$53,1,0)</f>
        <v>Эксперты IВUрrоg</v>
      </c>
    </row>
    <row r="33" spans="1:19" ht="15" customHeight="1">
      <c r="A33" s="361">
        <v>3</v>
      </c>
      <c r="B33" s="362" t="s">
        <v>83</v>
      </c>
      <c r="C33" s="368">
        <v>0.1277777777777778</v>
      </c>
      <c r="D33" s="368">
        <v>0.08611111111111112</v>
      </c>
      <c r="E33" s="367"/>
      <c r="F33" s="369">
        <v>0.2520833333333333</v>
      </c>
      <c r="G33" s="368">
        <v>0.2555555555555556</v>
      </c>
      <c r="H33" s="369">
        <v>0.20972222222222223</v>
      </c>
      <c r="I33" s="369">
        <v>0.2513888888888889</v>
      </c>
      <c r="J33" s="370">
        <v>6</v>
      </c>
      <c r="K33" s="370">
        <v>3</v>
      </c>
      <c r="L33" s="370">
        <v>0</v>
      </c>
      <c r="M33" s="370">
        <v>3</v>
      </c>
      <c r="N33" s="370" t="s">
        <v>343</v>
      </c>
      <c r="O33" s="370">
        <v>9</v>
      </c>
      <c r="P33" s="383">
        <f>K33*2+L33</f>
        <v>6</v>
      </c>
      <c r="Q33" s="384">
        <v>16</v>
      </c>
      <c r="S33" s="359" t="str">
        <f>VLOOKUP(B33,Лист1!$B$4:$B$53,1,0)</f>
        <v>КСП "Торпедо" им. Эдуарда Стрельцова</v>
      </c>
    </row>
    <row r="34" spans="1:19" ht="15.75" customHeight="1">
      <c r="A34" s="361">
        <v>4</v>
      </c>
      <c r="B34" s="362" t="s">
        <v>158</v>
      </c>
      <c r="C34" s="372">
        <v>0.21180555555555555</v>
      </c>
      <c r="D34" s="368">
        <v>0.1277777777777778</v>
      </c>
      <c r="E34" s="368">
        <v>0.12916666666666668</v>
      </c>
      <c r="F34" s="367"/>
      <c r="G34" s="369">
        <v>0.25277777777777777</v>
      </c>
      <c r="H34" s="369">
        <v>0.25277777777777777</v>
      </c>
      <c r="I34" s="368">
        <v>0.12847222222222224</v>
      </c>
      <c r="J34" s="370">
        <v>6</v>
      </c>
      <c r="K34" s="370">
        <v>2</v>
      </c>
      <c r="L34" s="370">
        <v>1</v>
      </c>
      <c r="M34" s="370">
        <v>3</v>
      </c>
      <c r="N34" s="370" t="s">
        <v>344</v>
      </c>
      <c r="O34" s="370">
        <v>7</v>
      </c>
      <c r="P34" s="383">
        <f>K34*2+L34</f>
        <v>5</v>
      </c>
      <c r="Q34" s="384">
        <v>16</v>
      </c>
      <c r="S34" s="359" t="str">
        <f>VLOOKUP(B34,Лист1!$B$4:$B$53,1,0)</f>
        <v>Сборная Мегаспорта</v>
      </c>
    </row>
    <row r="35" spans="1:19" ht="15.75" customHeight="1">
      <c r="A35" s="363">
        <v>5</v>
      </c>
      <c r="B35" s="364" t="s">
        <v>135</v>
      </c>
      <c r="C35" s="368">
        <v>0.1277777777777778</v>
      </c>
      <c r="D35" s="372">
        <v>0.16944444444444443</v>
      </c>
      <c r="E35" s="369">
        <v>0.33749999999999997</v>
      </c>
      <c r="F35" s="368">
        <v>0.1708333333333333</v>
      </c>
      <c r="G35" s="371"/>
      <c r="H35" s="368">
        <v>0.04652777777777778</v>
      </c>
      <c r="I35" s="369">
        <v>0.2111111111111111</v>
      </c>
      <c r="J35" s="365">
        <v>6</v>
      </c>
      <c r="K35" s="365">
        <v>2</v>
      </c>
      <c r="L35" s="365">
        <v>1</v>
      </c>
      <c r="M35" s="365">
        <v>3</v>
      </c>
      <c r="N35" s="365" t="s">
        <v>345</v>
      </c>
      <c r="O35" s="365">
        <v>7</v>
      </c>
      <c r="P35" s="383">
        <f>K35*2+L35</f>
        <v>5</v>
      </c>
      <c r="Q35" s="384" t="s">
        <v>75</v>
      </c>
      <c r="S35" s="359" t="str">
        <f>VLOOKUP(B35,Лист1!$B$4:$B$53,1,0)</f>
        <v>Kuban.ru</v>
      </c>
    </row>
    <row r="36" spans="1:19" ht="15" customHeight="1">
      <c r="A36" s="363">
        <v>6</v>
      </c>
      <c r="B36" s="364" t="s">
        <v>63</v>
      </c>
      <c r="C36" s="368">
        <v>0.001388888888888889</v>
      </c>
      <c r="D36" s="369">
        <v>0.5</v>
      </c>
      <c r="E36" s="368">
        <v>0.08680555555555557</v>
      </c>
      <c r="F36" s="368">
        <v>0.1708333333333333</v>
      </c>
      <c r="G36" s="369">
        <v>0.2923611111111111</v>
      </c>
      <c r="H36" s="371"/>
      <c r="I36" s="368">
        <v>0.08958333333333333</v>
      </c>
      <c r="J36" s="365">
        <v>6</v>
      </c>
      <c r="K36" s="365">
        <v>2</v>
      </c>
      <c r="L36" s="365">
        <v>0</v>
      </c>
      <c r="M36" s="365">
        <v>4</v>
      </c>
      <c r="N36" s="365" t="s">
        <v>346</v>
      </c>
      <c r="O36" s="365">
        <v>6</v>
      </c>
      <c r="P36" s="383">
        <f>K36*2+L36</f>
        <v>4</v>
      </c>
      <c r="Q36" s="384" t="s">
        <v>76</v>
      </c>
      <c r="S36" s="359" t="str">
        <f>VLOOKUP(B36,Лист1!$B$4:$B$53,1,0)</f>
        <v>SEclub.org</v>
      </c>
    </row>
    <row r="37" spans="1:19" ht="15" customHeight="1">
      <c r="A37" s="363">
        <v>7</v>
      </c>
      <c r="B37" s="364" t="s">
        <v>134</v>
      </c>
      <c r="C37" s="368">
        <v>0.17013888888888887</v>
      </c>
      <c r="D37" s="368">
        <v>0.13055555555555556</v>
      </c>
      <c r="E37" s="368">
        <v>0.08750000000000001</v>
      </c>
      <c r="F37" s="369">
        <v>0.21041666666666667</v>
      </c>
      <c r="G37" s="368">
        <v>0.17013888888888887</v>
      </c>
      <c r="H37" s="369">
        <v>0.3763888888888889</v>
      </c>
      <c r="I37" s="371"/>
      <c r="J37" s="365">
        <v>6</v>
      </c>
      <c r="K37" s="365">
        <v>2</v>
      </c>
      <c r="L37" s="365">
        <v>0</v>
      </c>
      <c r="M37" s="365">
        <v>4</v>
      </c>
      <c r="N37" s="365" t="s">
        <v>320</v>
      </c>
      <c r="O37" s="365">
        <v>6</v>
      </c>
      <c r="P37" s="383">
        <f>K37*2+L37</f>
        <v>4</v>
      </c>
      <c r="Q37" s="384" t="s">
        <v>74</v>
      </c>
      <c r="S37" s="359" t="str">
        <f>VLOOKUP(B37,Лист1!$B$4:$B$53,1,0)</f>
        <v>ОЛФП Одесса</v>
      </c>
    </row>
    <row r="38" spans="16:17" ht="15">
      <c r="P38" s="353"/>
      <c r="Q38" s="353"/>
    </row>
    <row r="39" spans="1:26" ht="15">
      <c r="A39" s="395" t="s">
        <v>0</v>
      </c>
      <c r="B39" s="395" t="s">
        <v>347</v>
      </c>
      <c r="C39" s="398">
        <v>1</v>
      </c>
      <c r="D39" s="398">
        <v>2</v>
      </c>
      <c r="E39" s="398">
        <v>3</v>
      </c>
      <c r="F39" s="398">
        <v>4</v>
      </c>
      <c r="G39" s="398">
        <v>5</v>
      </c>
      <c r="H39" s="398">
        <v>6</v>
      </c>
      <c r="I39" s="398">
        <v>7</v>
      </c>
      <c r="J39" s="398">
        <v>8</v>
      </c>
      <c r="K39" s="398">
        <v>9</v>
      </c>
      <c r="L39" s="398">
        <v>10</v>
      </c>
      <c r="M39" s="398">
        <v>11</v>
      </c>
      <c r="N39" s="398">
        <v>12</v>
      </c>
      <c r="O39" s="398">
        <v>13</v>
      </c>
      <c r="P39" s="398">
        <v>14</v>
      </c>
      <c r="Q39" s="398">
        <v>15</v>
      </c>
      <c r="R39" s="398">
        <v>16</v>
      </c>
      <c r="S39" s="398" t="s">
        <v>1</v>
      </c>
      <c r="T39" s="398" t="s">
        <v>2</v>
      </c>
      <c r="U39" s="398" t="s">
        <v>3</v>
      </c>
      <c r="V39" s="398" t="s">
        <v>4</v>
      </c>
      <c r="W39" s="398" t="s">
        <v>97</v>
      </c>
      <c r="X39" s="398" t="s">
        <v>6</v>
      </c>
      <c r="Y39" s="398" t="s">
        <v>199</v>
      </c>
      <c r="Z39" s="398">
        <v>1</v>
      </c>
    </row>
    <row r="40" spans="1:26" ht="28.5">
      <c r="A40" s="396">
        <v>1</v>
      </c>
      <c r="B40" s="408" t="s">
        <v>128</v>
      </c>
      <c r="C40" s="399"/>
      <c r="D40" s="400">
        <v>0.043750000000000004</v>
      </c>
      <c r="E40" s="400">
        <v>0.2125</v>
      </c>
      <c r="F40" s="401">
        <v>0.2111111111111111</v>
      </c>
      <c r="G40" s="401">
        <v>0.21041666666666667</v>
      </c>
      <c r="H40" s="401">
        <v>0.41805555555555557</v>
      </c>
      <c r="I40" s="401">
        <v>0.125</v>
      </c>
      <c r="J40" s="401">
        <v>0.29375</v>
      </c>
      <c r="K40" s="401">
        <v>0.16805555555555554</v>
      </c>
      <c r="L40" s="401">
        <v>0.21041666666666667</v>
      </c>
      <c r="M40" s="401">
        <v>0.3333333333333333</v>
      </c>
      <c r="N40" s="401">
        <v>0.2520833333333333</v>
      </c>
      <c r="O40" s="401">
        <v>0.25</v>
      </c>
      <c r="P40" s="401">
        <v>0.2923611111111111</v>
      </c>
      <c r="Q40" s="401">
        <v>0.4201388888888889</v>
      </c>
      <c r="R40" s="401">
        <v>0.29583333333333334</v>
      </c>
      <c r="S40" s="402">
        <v>15</v>
      </c>
      <c r="T40" s="402">
        <v>13</v>
      </c>
      <c r="U40" s="402">
        <v>0</v>
      </c>
      <c r="V40" s="402">
        <v>2</v>
      </c>
      <c r="W40" s="402" t="s">
        <v>421</v>
      </c>
      <c r="X40" s="402">
        <v>39</v>
      </c>
      <c r="Y40" s="402">
        <f>T40*2+U40</f>
        <v>26</v>
      </c>
      <c r="Z40" s="402">
        <v>1</v>
      </c>
    </row>
    <row r="41" spans="1:26" ht="15">
      <c r="A41" s="396">
        <v>2</v>
      </c>
      <c r="B41" s="408" t="s">
        <v>62</v>
      </c>
      <c r="C41" s="401">
        <v>0.12569444444444444</v>
      </c>
      <c r="D41" s="399"/>
      <c r="E41" s="401">
        <v>0.25277777777777777</v>
      </c>
      <c r="F41" s="401">
        <v>0.2513888888888889</v>
      </c>
      <c r="G41" s="401">
        <v>0.29583333333333334</v>
      </c>
      <c r="H41" s="400">
        <v>0.17013888888888887</v>
      </c>
      <c r="I41" s="401">
        <v>0.20972222222222223</v>
      </c>
      <c r="J41" s="401">
        <v>0.5847222222222223</v>
      </c>
      <c r="K41" s="401">
        <v>0.2111111111111111</v>
      </c>
      <c r="L41" s="401">
        <v>0.29444444444444445</v>
      </c>
      <c r="M41" s="401">
        <v>0.4604166666666667</v>
      </c>
      <c r="N41" s="403">
        <v>0.16944444444444443</v>
      </c>
      <c r="O41" s="403">
        <v>0.21180555555555555</v>
      </c>
      <c r="P41" s="401">
        <v>0.16874999999999998</v>
      </c>
      <c r="Q41" s="401">
        <v>0.3347222222222222</v>
      </c>
      <c r="R41" s="401">
        <v>0.41944444444444445</v>
      </c>
      <c r="S41" s="402">
        <v>15</v>
      </c>
      <c r="T41" s="402">
        <v>12</v>
      </c>
      <c r="U41" s="402">
        <v>2</v>
      </c>
      <c r="V41" s="402">
        <v>1</v>
      </c>
      <c r="W41" s="402" t="s">
        <v>422</v>
      </c>
      <c r="X41" s="402">
        <v>38</v>
      </c>
      <c r="Y41" s="402">
        <f aca="true" t="shared" si="1" ref="Y41:Y55">T41*2+U41</f>
        <v>26</v>
      </c>
      <c r="Z41" s="402">
        <v>2</v>
      </c>
    </row>
    <row r="42" spans="1:26" ht="15">
      <c r="A42" s="396">
        <v>3</v>
      </c>
      <c r="B42" s="408" t="s">
        <v>201</v>
      </c>
      <c r="C42" s="401">
        <v>0.2534722222222222</v>
      </c>
      <c r="D42" s="400">
        <v>0.1708333333333333</v>
      </c>
      <c r="E42" s="399"/>
      <c r="F42" s="401">
        <v>0.3770833333333334</v>
      </c>
      <c r="G42" s="401">
        <v>0.2534722222222222</v>
      </c>
      <c r="H42" s="401">
        <v>0.2520833333333333</v>
      </c>
      <c r="I42" s="401">
        <v>0.2534722222222222</v>
      </c>
      <c r="J42" s="401">
        <v>0.41805555555555557</v>
      </c>
      <c r="K42" s="401">
        <v>0.20972222222222223</v>
      </c>
      <c r="L42" s="401">
        <v>0.3347222222222222</v>
      </c>
      <c r="M42" s="400">
        <v>0.2125</v>
      </c>
      <c r="N42" s="401">
        <v>0.29305555555555557</v>
      </c>
      <c r="O42" s="403">
        <v>0.16944444444444443</v>
      </c>
      <c r="P42" s="401">
        <v>0.37847222222222227</v>
      </c>
      <c r="Q42" s="401">
        <v>0.3368055555555556</v>
      </c>
      <c r="R42" s="403">
        <v>0.21180555555555555</v>
      </c>
      <c r="S42" s="402">
        <v>15</v>
      </c>
      <c r="T42" s="402">
        <v>11</v>
      </c>
      <c r="U42" s="402">
        <v>2</v>
      </c>
      <c r="V42" s="402">
        <v>2</v>
      </c>
      <c r="W42" s="402" t="s">
        <v>423</v>
      </c>
      <c r="X42" s="402">
        <v>35</v>
      </c>
      <c r="Y42" s="402">
        <f t="shared" si="1"/>
        <v>24</v>
      </c>
      <c r="Z42" s="402">
        <v>3</v>
      </c>
    </row>
    <row r="43" spans="1:26" ht="15">
      <c r="A43" s="397">
        <v>4</v>
      </c>
      <c r="B43" s="407" t="s">
        <v>174</v>
      </c>
      <c r="C43" s="400">
        <v>0.17013888888888887</v>
      </c>
      <c r="D43" s="400">
        <v>0.08750000000000001</v>
      </c>
      <c r="E43" s="400">
        <v>0.13125</v>
      </c>
      <c r="F43" s="404"/>
      <c r="G43" s="401">
        <v>0.3361111111111111</v>
      </c>
      <c r="H43" s="400">
        <v>0.2125</v>
      </c>
      <c r="I43" s="401">
        <v>0.29375</v>
      </c>
      <c r="J43" s="400">
        <v>0.1277777777777778</v>
      </c>
      <c r="K43" s="400">
        <v>0.17222222222222225</v>
      </c>
      <c r="L43" s="401">
        <v>0.3340277777777778</v>
      </c>
      <c r="M43" s="401">
        <v>0.2534722222222222</v>
      </c>
      <c r="N43" s="401">
        <v>0.3361111111111111</v>
      </c>
      <c r="O43" s="401">
        <v>0.29305555555555557</v>
      </c>
      <c r="P43" s="401">
        <v>0.16874999999999998</v>
      </c>
      <c r="Q43" s="401">
        <v>0.2534722222222222</v>
      </c>
      <c r="R43" s="401">
        <v>0.25069444444444444</v>
      </c>
      <c r="S43" s="405">
        <v>15</v>
      </c>
      <c r="T43" s="405">
        <v>9</v>
      </c>
      <c r="U43" s="405">
        <v>0</v>
      </c>
      <c r="V43" s="405">
        <v>6</v>
      </c>
      <c r="W43" s="405" t="s">
        <v>424</v>
      </c>
      <c r="X43" s="405">
        <v>27</v>
      </c>
      <c r="Y43" s="406">
        <f t="shared" si="1"/>
        <v>18</v>
      </c>
      <c r="Z43" s="405">
        <v>4</v>
      </c>
    </row>
    <row r="44" spans="1:26" ht="15">
      <c r="A44" s="397">
        <v>5</v>
      </c>
      <c r="B44" s="407" t="s">
        <v>132</v>
      </c>
      <c r="C44" s="400">
        <v>0.12847222222222224</v>
      </c>
      <c r="D44" s="400">
        <v>0.2548611111111111</v>
      </c>
      <c r="E44" s="400">
        <v>0.2125</v>
      </c>
      <c r="F44" s="400">
        <v>0.17222222222222225</v>
      </c>
      <c r="G44" s="404"/>
      <c r="H44" s="400">
        <v>0.005555555555555556</v>
      </c>
      <c r="I44" s="401">
        <v>0.2111111111111111</v>
      </c>
      <c r="J44" s="401">
        <v>0.21041666666666667</v>
      </c>
      <c r="K44" s="400">
        <v>0.2125</v>
      </c>
      <c r="L44" s="401">
        <v>0.29583333333333334</v>
      </c>
      <c r="M44" s="401">
        <v>0.20902777777777778</v>
      </c>
      <c r="N44" s="401">
        <v>0.20972222222222223</v>
      </c>
      <c r="O44" s="403">
        <v>0.25416666666666665</v>
      </c>
      <c r="P44" s="400">
        <v>0.04513888888888889</v>
      </c>
      <c r="Q44" s="401">
        <v>0.16874999999999998</v>
      </c>
      <c r="R44" s="401">
        <v>0.29305555555555557</v>
      </c>
      <c r="S44" s="405">
        <v>15</v>
      </c>
      <c r="T44" s="405">
        <v>7</v>
      </c>
      <c r="U44" s="405">
        <v>1</v>
      </c>
      <c r="V44" s="405">
        <v>7</v>
      </c>
      <c r="W44" s="405" t="s">
        <v>425</v>
      </c>
      <c r="X44" s="405">
        <v>22</v>
      </c>
      <c r="Y44" s="406">
        <f t="shared" si="1"/>
        <v>15</v>
      </c>
      <c r="Z44" s="405">
        <v>5</v>
      </c>
    </row>
    <row r="45" spans="1:26" ht="15">
      <c r="A45" s="397">
        <v>6</v>
      </c>
      <c r="B45" s="408" t="s">
        <v>11</v>
      </c>
      <c r="C45" s="400">
        <v>0.09027777777777778</v>
      </c>
      <c r="D45" s="401">
        <v>0.2111111111111111</v>
      </c>
      <c r="E45" s="400">
        <v>0.12916666666666668</v>
      </c>
      <c r="F45" s="401">
        <v>0.2534722222222222</v>
      </c>
      <c r="G45" s="401">
        <v>0.3333333333333333</v>
      </c>
      <c r="H45" s="404"/>
      <c r="I45" s="401">
        <v>0.37777777777777777</v>
      </c>
      <c r="J45" s="400">
        <v>0.2548611111111111</v>
      </c>
      <c r="K45" s="401">
        <v>0.2111111111111111</v>
      </c>
      <c r="L45" s="400">
        <v>0.09166666666666667</v>
      </c>
      <c r="M45" s="400">
        <v>0.2125</v>
      </c>
      <c r="N45" s="400">
        <v>0.08888888888888889</v>
      </c>
      <c r="O45" s="403">
        <v>0.21180555555555555</v>
      </c>
      <c r="P45" s="401">
        <v>0.21041666666666667</v>
      </c>
      <c r="Q45" s="400">
        <v>0.044444444444444446</v>
      </c>
      <c r="R45" s="401">
        <v>0.29444444444444445</v>
      </c>
      <c r="S45" s="405">
        <v>15</v>
      </c>
      <c r="T45" s="405">
        <v>7</v>
      </c>
      <c r="U45" s="405">
        <v>1</v>
      </c>
      <c r="V45" s="405">
        <v>7</v>
      </c>
      <c r="W45" s="405" t="s">
        <v>426</v>
      </c>
      <c r="X45" s="405">
        <v>22</v>
      </c>
      <c r="Y45" s="406">
        <f t="shared" si="1"/>
        <v>15</v>
      </c>
      <c r="Z45" s="405">
        <v>6</v>
      </c>
    </row>
    <row r="46" spans="1:26" ht="15">
      <c r="A46" s="397">
        <v>7</v>
      </c>
      <c r="B46" s="408" t="s">
        <v>125</v>
      </c>
      <c r="C46" s="400">
        <v>0.0020833333333333333</v>
      </c>
      <c r="D46" s="400">
        <v>0.08680555555555557</v>
      </c>
      <c r="E46" s="400">
        <v>0.2125</v>
      </c>
      <c r="F46" s="400">
        <v>0.12986111111111112</v>
      </c>
      <c r="G46" s="400">
        <v>0.17013888888888887</v>
      </c>
      <c r="H46" s="400">
        <v>0.1729166666666667</v>
      </c>
      <c r="I46" s="404"/>
      <c r="J46" s="401">
        <v>0.3340277777777778</v>
      </c>
      <c r="K46" s="401">
        <v>0.2923611111111111</v>
      </c>
      <c r="L46" s="401">
        <v>0.3347222222222222</v>
      </c>
      <c r="M46" s="400">
        <v>0.17222222222222225</v>
      </c>
      <c r="N46" s="403">
        <v>0.08472222222222221</v>
      </c>
      <c r="O46" s="401">
        <v>0.25277777777777777</v>
      </c>
      <c r="P46" s="401">
        <v>0.3361111111111111</v>
      </c>
      <c r="Q46" s="401">
        <v>0.29444444444444445</v>
      </c>
      <c r="R46" s="401">
        <v>0.29583333333333334</v>
      </c>
      <c r="S46" s="405">
        <v>15</v>
      </c>
      <c r="T46" s="405">
        <v>7</v>
      </c>
      <c r="U46" s="405">
        <v>1</v>
      </c>
      <c r="V46" s="405">
        <v>7</v>
      </c>
      <c r="W46" s="405" t="s">
        <v>427</v>
      </c>
      <c r="X46" s="405">
        <v>21</v>
      </c>
      <c r="Y46" s="406">
        <f t="shared" si="1"/>
        <v>15</v>
      </c>
      <c r="Z46" s="405">
        <v>7</v>
      </c>
    </row>
    <row r="47" spans="1:26" ht="15">
      <c r="A47" s="397">
        <v>8</v>
      </c>
      <c r="B47" s="408" t="s">
        <v>127</v>
      </c>
      <c r="C47" s="400">
        <v>0.12986111111111112</v>
      </c>
      <c r="D47" s="400">
        <v>0.09305555555555556</v>
      </c>
      <c r="E47" s="400">
        <v>0.09027777777777778</v>
      </c>
      <c r="F47" s="401">
        <v>0.16874999999999998</v>
      </c>
      <c r="G47" s="400">
        <v>0.12847222222222224</v>
      </c>
      <c r="H47" s="401">
        <v>0.29583333333333334</v>
      </c>
      <c r="I47" s="400">
        <v>0.04722222222222222</v>
      </c>
      <c r="J47" s="404"/>
      <c r="K47" s="400">
        <v>0.21458333333333335</v>
      </c>
      <c r="L47" s="400">
        <v>0.12986111111111112</v>
      </c>
      <c r="M47" s="401">
        <v>0.29444444444444445</v>
      </c>
      <c r="N47" s="400">
        <v>0.0062499999999999995</v>
      </c>
      <c r="O47" s="401">
        <v>0.2534722222222222</v>
      </c>
      <c r="P47" s="401">
        <v>0.3347222222222222</v>
      </c>
      <c r="Q47" s="401">
        <v>0.2534722222222222</v>
      </c>
      <c r="R47" s="401">
        <v>0.29444444444444445</v>
      </c>
      <c r="S47" s="405">
        <v>15</v>
      </c>
      <c r="T47" s="405">
        <v>7</v>
      </c>
      <c r="U47" s="405">
        <v>0</v>
      </c>
      <c r="V47" s="405">
        <v>8</v>
      </c>
      <c r="W47" s="405" t="s">
        <v>428</v>
      </c>
      <c r="X47" s="405">
        <v>21</v>
      </c>
      <c r="Y47" s="406">
        <f t="shared" si="1"/>
        <v>14</v>
      </c>
      <c r="Z47" s="405">
        <v>8</v>
      </c>
    </row>
    <row r="48" spans="1:26" ht="15">
      <c r="A48" s="397">
        <v>9</v>
      </c>
      <c r="B48" s="408" t="s">
        <v>67</v>
      </c>
      <c r="C48" s="400">
        <v>0.08611111111111112</v>
      </c>
      <c r="D48" s="400">
        <v>0.17013888888888887</v>
      </c>
      <c r="E48" s="400">
        <v>0.08680555555555557</v>
      </c>
      <c r="F48" s="401">
        <v>0.3361111111111111</v>
      </c>
      <c r="G48" s="401">
        <v>0.2534722222222222</v>
      </c>
      <c r="H48" s="400">
        <v>0.17013888888888887</v>
      </c>
      <c r="I48" s="400">
        <v>0.04652777777777778</v>
      </c>
      <c r="J48" s="401">
        <v>0.37847222222222227</v>
      </c>
      <c r="K48" s="404"/>
      <c r="L48" s="401">
        <v>0.21041666666666667</v>
      </c>
      <c r="M48" s="401">
        <v>0.375</v>
      </c>
      <c r="N48" s="403">
        <v>0.16944444444444443</v>
      </c>
      <c r="O48" s="400">
        <v>0.12847222222222224</v>
      </c>
      <c r="P48" s="400">
        <v>0.04583333333333334</v>
      </c>
      <c r="Q48" s="403">
        <v>0.25416666666666665</v>
      </c>
      <c r="R48" s="401">
        <v>0.3763888888888889</v>
      </c>
      <c r="S48" s="405">
        <v>15</v>
      </c>
      <c r="T48" s="405">
        <v>6</v>
      </c>
      <c r="U48" s="405">
        <v>2</v>
      </c>
      <c r="V48" s="405">
        <v>7</v>
      </c>
      <c r="W48" s="405" t="s">
        <v>429</v>
      </c>
      <c r="X48" s="405">
        <v>20</v>
      </c>
      <c r="Y48" s="406">
        <f t="shared" si="1"/>
        <v>14</v>
      </c>
      <c r="Z48" s="405">
        <v>9</v>
      </c>
    </row>
    <row r="49" spans="1:26" ht="15">
      <c r="A49" s="397">
        <v>10</v>
      </c>
      <c r="B49" s="407" t="s">
        <v>178</v>
      </c>
      <c r="C49" s="400">
        <v>0.12847222222222224</v>
      </c>
      <c r="D49" s="400">
        <v>0.17152777777777775</v>
      </c>
      <c r="E49" s="400">
        <v>0.08888888888888889</v>
      </c>
      <c r="F49" s="400">
        <v>0.04722222222222222</v>
      </c>
      <c r="G49" s="400">
        <v>0.2548611111111111</v>
      </c>
      <c r="H49" s="401">
        <v>0.5013888888888889</v>
      </c>
      <c r="I49" s="400">
        <v>0.08888888888888889</v>
      </c>
      <c r="J49" s="401">
        <v>0.29375</v>
      </c>
      <c r="K49" s="400">
        <v>0.12847222222222224</v>
      </c>
      <c r="L49" s="404"/>
      <c r="M49" s="400">
        <v>0.12986111111111112</v>
      </c>
      <c r="N49" s="401">
        <v>0.33819444444444446</v>
      </c>
      <c r="O49" s="401">
        <v>0.2923611111111111</v>
      </c>
      <c r="P49" s="400">
        <v>0.049305555555555554</v>
      </c>
      <c r="Q49" s="401">
        <v>0.3347222222222222</v>
      </c>
      <c r="R49" s="401">
        <v>0.2534722222222222</v>
      </c>
      <c r="S49" s="405">
        <v>15</v>
      </c>
      <c r="T49" s="405">
        <v>6</v>
      </c>
      <c r="U49" s="405">
        <v>0</v>
      </c>
      <c r="V49" s="405">
        <v>9</v>
      </c>
      <c r="W49" s="405" t="s">
        <v>430</v>
      </c>
      <c r="X49" s="405">
        <v>18</v>
      </c>
      <c r="Y49" s="406">
        <f t="shared" si="1"/>
        <v>12</v>
      </c>
      <c r="Z49" s="405">
        <v>10</v>
      </c>
    </row>
    <row r="50" spans="1:26" ht="15">
      <c r="A50" s="397">
        <v>11</v>
      </c>
      <c r="B50" s="408" t="s">
        <v>124</v>
      </c>
      <c r="C50" s="400">
        <v>0.005555555555555556</v>
      </c>
      <c r="D50" s="400">
        <v>0.1326388888888889</v>
      </c>
      <c r="E50" s="401">
        <v>0.2534722222222222</v>
      </c>
      <c r="F50" s="400">
        <v>0.2125</v>
      </c>
      <c r="G50" s="400">
        <v>0.04513888888888889</v>
      </c>
      <c r="H50" s="401">
        <v>0.2534722222222222</v>
      </c>
      <c r="I50" s="401">
        <v>0.3361111111111111</v>
      </c>
      <c r="J50" s="400">
        <v>0.17152777777777775</v>
      </c>
      <c r="K50" s="400">
        <v>0.0062499999999999995</v>
      </c>
      <c r="L50" s="401">
        <v>0.29375</v>
      </c>
      <c r="M50" s="404"/>
      <c r="N50" s="400">
        <v>0.1277777777777778</v>
      </c>
      <c r="O50" s="400">
        <v>0.12986111111111112</v>
      </c>
      <c r="P50" s="401">
        <v>0.20972222222222223</v>
      </c>
      <c r="Q50" s="401">
        <v>0.29444444444444445</v>
      </c>
      <c r="R50" s="400">
        <v>0.1708333333333333</v>
      </c>
      <c r="S50" s="405">
        <v>15</v>
      </c>
      <c r="T50" s="405">
        <v>6</v>
      </c>
      <c r="U50" s="405">
        <v>0</v>
      </c>
      <c r="V50" s="405">
        <v>9</v>
      </c>
      <c r="W50" s="405" t="s">
        <v>431</v>
      </c>
      <c r="X50" s="405">
        <v>18</v>
      </c>
      <c r="Y50" s="406">
        <f t="shared" si="1"/>
        <v>12</v>
      </c>
      <c r="Z50" s="405">
        <v>11</v>
      </c>
    </row>
    <row r="51" spans="1:26" ht="15">
      <c r="A51" s="397">
        <v>12</v>
      </c>
      <c r="B51" s="407" t="s">
        <v>126</v>
      </c>
      <c r="C51" s="400">
        <v>0.12916666666666668</v>
      </c>
      <c r="D51" s="403">
        <v>0.16944444444444443</v>
      </c>
      <c r="E51" s="400">
        <v>0.08819444444444445</v>
      </c>
      <c r="F51" s="400">
        <v>0.17222222222222225</v>
      </c>
      <c r="G51" s="400">
        <v>0.08680555555555557</v>
      </c>
      <c r="H51" s="401">
        <v>0.3347222222222222</v>
      </c>
      <c r="I51" s="403">
        <v>0.08472222222222221</v>
      </c>
      <c r="J51" s="401">
        <v>0.375</v>
      </c>
      <c r="K51" s="403">
        <v>0.16944444444444443</v>
      </c>
      <c r="L51" s="400">
        <v>0.2972222222222222</v>
      </c>
      <c r="M51" s="401">
        <v>0.16874999999999998</v>
      </c>
      <c r="N51" s="404"/>
      <c r="O51" s="401">
        <v>0.3756944444444445</v>
      </c>
      <c r="P51" s="400">
        <v>0.0020833333333333333</v>
      </c>
      <c r="Q51" s="401">
        <v>0.4173611111111111</v>
      </c>
      <c r="R51" s="400">
        <v>0.12916666666666668</v>
      </c>
      <c r="S51" s="405">
        <v>15</v>
      </c>
      <c r="T51" s="405">
        <v>5</v>
      </c>
      <c r="U51" s="405">
        <v>3</v>
      </c>
      <c r="V51" s="405">
        <v>7</v>
      </c>
      <c r="W51" s="405" t="s">
        <v>432</v>
      </c>
      <c r="X51" s="405">
        <v>17</v>
      </c>
      <c r="Y51" s="406">
        <f t="shared" si="1"/>
        <v>13</v>
      </c>
      <c r="Z51" s="405">
        <v>12</v>
      </c>
    </row>
    <row r="52" spans="1:26" ht="15">
      <c r="A52" s="397">
        <v>13</v>
      </c>
      <c r="B52" s="408" t="s">
        <v>158</v>
      </c>
      <c r="C52" s="400">
        <v>0.004166666666666667</v>
      </c>
      <c r="D52" s="403">
        <v>0.21180555555555555</v>
      </c>
      <c r="E52" s="403">
        <v>0.16944444444444443</v>
      </c>
      <c r="F52" s="400">
        <v>0.08819444444444445</v>
      </c>
      <c r="G52" s="403">
        <v>0.25416666666666665</v>
      </c>
      <c r="H52" s="403">
        <v>0.21180555555555555</v>
      </c>
      <c r="I52" s="400">
        <v>0.1708333333333333</v>
      </c>
      <c r="J52" s="400">
        <v>0.2125</v>
      </c>
      <c r="K52" s="401">
        <v>0.21041666666666667</v>
      </c>
      <c r="L52" s="400">
        <v>0.04652777777777778</v>
      </c>
      <c r="M52" s="401">
        <v>0.29375</v>
      </c>
      <c r="N52" s="400">
        <v>0.04791666666666666</v>
      </c>
      <c r="O52" s="404"/>
      <c r="P52" s="400">
        <v>0.17152777777777775</v>
      </c>
      <c r="Q52" s="401">
        <v>0.33749999999999997</v>
      </c>
      <c r="R52" s="401">
        <v>0.3354166666666667</v>
      </c>
      <c r="S52" s="405">
        <v>15</v>
      </c>
      <c r="T52" s="405">
        <v>4</v>
      </c>
      <c r="U52" s="405">
        <v>4</v>
      </c>
      <c r="V52" s="405">
        <v>7</v>
      </c>
      <c r="W52" s="405" t="s">
        <v>433</v>
      </c>
      <c r="X52" s="405">
        <v>16</v>
      </c>
      <c r="Y52" s="406">
        <f t="shared" si="1"/>
        <v>12</v>
      </c>
      <c r="Z52" s="405">
        <v>13</v>
      </c>
    </row>
    <row r="53" spans="1:26" ht="15">
      <c r="A53" s="397">
        <v>14</v>
      </c>
      <c r="B53" s="408" t="s">
        <v>9</v>
      </c>
      <c r="C53" s="400">
        <v>0.04652777777777778</v>
      </c>
      <c r="D53" s="400">
        <v>0.1277777777777778</v>
      </c>
      <c r="E53" s="400">
        <v>0.21458333333333335</v>
      </c>
      <c r="F53" s="400">
        <v>0.1277777777777778</v>
      </c>
      <c r="G53" s="401">
        <v>0.20902777777777778</v>
      </c>
      <c r="H53" s="400">
        <v>0.12847222222222224</v>
      </c>
      <c r="I53" s="400">
        <v>0.17222222222222225</v>
      </c>
      <c r="J53" s="400">
        <v>0.08888888888888889</v>
      </c>
      <c r="K53" s="401">
        <v>0.25069444444444444</v>
      </c>
      <c r="L53" s="401">
        <v>0.4590277777777778</v>
      </c>
      <c r="M53" s="400">
        <v>0.08680555555555557</v>
      </c>
      <c r="N53" s="401">
        <v>0.125</v>
      </c>
      <c r="O53" s="401">
        <v>0.29444444444444445</v>
      </c>
      <c r="P53" s="404"/>
      <c r="Q53" s="400">
        <v>0.2125</v>
      </c>
      <c r="R53" s="400">
        <v>0.13125</v>
      </c>
      <c r="S53" s="405">
        <v>15</v>
      </c>
      <c r="T53" s="405">
        <v>5</v>
      </c>
      <c r="U53" s="405">
        <v>0</v>
      </c>
      <c r="V53" s="405">
        <v>10</v>
      </c>
      <c r="W53" s="405" t="s">
        <v>434</v>
      </c>
      <c r="X53" s="405">
        <v>15</v>
      </c>
      <c r="Y53" s="406">
        <f t="shared" si="1"/>
        <v>10</v>
      </c>
      <c r="Z53" s="405">
        <v>14</v>
      </c>
    </row>
    <row r="54" spans="1:26" ht="15">
      <c r="A54" s="397">
        <v>15</v>
      </c>
      <c r="B54" s="408" t="s">
        <v>60</v>
      </c>
      <c r="C54" s="400">
        <v>0.2152777777777778</v>
      </c>
      <c r="D54" s="400">
        <v>0.08888888888888889</v>
      </c>
      <c r="E54" s="400">
        <v>0.2138888888888889</v>
      </c>
      <c r="F54" s="400">
        <v>0.2125</v>
      </c>
      <c r="G54" s="400">
        <v>0.1277777777777778</v>
      </c>
      <c r="H54" s="401">
        <v>0.1673611111111111</v>
      </c>
      <c r="I54" s="400">
        <v>0.17152777777777775</v>
      </c>
      <c r="J54" s="400">
        <v>0.2125</v>
      </c>
      <c r="K54" s="403">
        <v>0.25416666666666665</v>
      </c>
      <c r="L54" s="400">
        <v>0.08888888888888889</v>
      </c>
      <c r="M54" s="400">
        <v>0.17152777777777775</v>
      </c>
      <c r="N54" s="400">
        <v>0.04861111111111111</v>
      </c>
      <c r="O54" s="400">
        <v>0.2555555555555556</v>
      </c>
      <c r="P54" s="401">
        <v>0.2534722222222222</v>
      </c>
      <c r="Q54" s="404"/>
      <c r="R54" s="401">
        <v>0.4166666666666667</v>
      </c>
      <c r="S54" s="405">
        <v>15</v>
      </c>
      <c r="T54" s="405">
        <v>3</v>
      </c>
      <c r="U54" s="405">
        <v>1</v>
      </c>
      <c r="V54" s="405">
        <v>11</v>
      </c>
      <c r="W54" s="405" t="s">
        <v>435</v>
      </c>
      <c r="X54" s="405">
        <v>10</v>
      </c>
      <c r="Y54" s="406">
        <f t="shared" si="1"/>
        <v>7</v>
      </c>
      <c r="Z54" s="405">
        <v>15</v>
      </c>
    </row>
    <row r="55" spans="1:26" ht="28.5">
      <c r="A55" s="397">
        <v>16</v>
      </c>
      <c r="B55" s="408" t="s">
        <v>83</v>
      </c>
      <c r="C55" s="400">
        <v>0.2548611111111111</v>
      </c>
      <c r="D55" s="400">
        <v>0.17361111111111113</v>
      </c>
      <c r="E55" s="403">
        <v>0.21180555555555555</v>
      </c>
      <c r="F55" s="400">
        <v>0.04583333333333334</v>
      </c>
      <c r="G55" s="400">
        <v>0.08819444444444445</v>
      </c>
      <c r="H55" s="400">
        <v>0.17152777777777775</v>
      </c>
      <c r="I55" s="400">
        <v>0.2548611111111111</v>
      </c>
      <c r="J55" s="400">
        <v>0.17152777777777775</v>
      </c>
      <c r="K55" s="400">
        <v>0.08958333333333333</v>
      </c>
      <c r="L55" s="400">
        <v>0.2125</v>
      </c>
      <c r="M55" s="401">
        <v>0.25277777777777777</v>
      </c>
      <c r="N55" s="401">
        <v>0.2520833333333333</v>
      </c>
      <c r="O55" s="400">
        <v>0.13055555555555556</v>
      </c>
      <c r="P55" s="401">
        <v>0.3770833333333334</v>
      </c>
      <c r="Q55" s="400">
        <v>0.006944444444444444</v>
      </c>
      <c r="R55" s="404"/>
      <c r="S55" s="405">
        <v>15</v>
      </c>
      <c r="T55" s="405">
        <v>3</v>
      </c>
      <c r="U55" s="405">
        <v>1</v>
      </c>
      <c r="V55" s="405">
        <v>11</v>
      </c>
      <c r="W55" s="405" t="s">
        <v>436</v>
      </c>
      <c r="X55" s="405">
        <v>10</v>
      </c>
      <c r="Y55" s="406">
        <f t="shared" si="1"/>
        <v>7</v>
      </c>
      <c r="Z55" s="405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3"/>
  <sheetViews>
    <sheetView zoomScalePageLayoutView="0" workbookViewId="0" topLeftCell="A1">
      <selection activeCell="P61" sqref="P61"/>
    </sheetView>
  </sheetViews>
  <sheetFormatPr defaultColWidth="9.140625" defaultRowHeight="15"/>
  <cols>
    <col min="1" max="1" width="9.140625" style="62" customWidth="1"/>
    <col min="2" max="2" width="6.28125" style="64" customWidth="1"/>
    <col min="3" max="3" width="45.7109375" style="62" customWidth="1"/>
    <col min="4" max="13" width="9.140625" style="64" customWidth="1"/>
    <col min="14" max="14" width="7.00390625" style="62" customWidth="1"/>
    <col min="15" max="15" width="6.57421875" style="62" customWidth="1"/>
    <col min="16" max="16" width="11.8515625" style="62" customWidth="1"/>
    <col min="17" max="16384" width="9.140625" style="62" customWidth="1"/>
  </cols>
  <sheetData>
    <row r="1" ht="15" customHeight="1">
      <c r="C1" s="63" t="s">
        <v>203</v>
      </c>
    </row>
    <row r="2" spans="2:13" ht="17.25" customHeight="1">
      <c r="B2" s="287"/>
      <c r="C2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7.25" customHeight="1">
      <c r="B3" s="470" t="s">
        <v>53</v>
      </c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358"/>
    </row>
    <row r="4" spans="2:13" ht="17.25" customHeight="1">
      <c r="B4" s="163" t="s">
        <v>26</v>
      </c>
      <c r="C4" s="163" t="s">
        <v>349</v>
      </c>
      <c r="D4" s="163" t="s">
        <v>6</v>
      </c>
      <c r="E4" s="163" t="s">
        <v>1</v>
      </c>
      <c r="F4" s="163" t="s">
        <v>2</v>
      </c>
      <c r="G4" s="163" t="s">
        <v>3</v>
      </c>
      <c r="H4" s="163" t="s">
        <v>4</v>
      </c>
      <c r="I4" s="163" t="s">
        <v>54</v>
      </c>
      <c r="J4" s="163" t="s">
        <v>5</v>
      </c>
      <c r="K4" s="163" t="s">
        <v>55</v>
      </c>
      <c r="L4" s="163" t="s">
        <v>56</v>
      </c>
      <c r="M4" s="163" t="s">
        <v>31</v>
      </c>
    </row>
    <row r="5" spans="2:14" ht="17.25" customHeight="1">
      <c r="B5" s="173" t="s">
        <v>166</v>
      </c>
      <c r="C5" s="319" t="s">
        <v>405</v>
      </c>
      <c r="D5" s="175">
        <v>15</v>
      </c>
      <c r="E5" s="175">
        <v>11</v>
      </c>
      <c r="F5" s="175">
        <v>6</v>
      </c>
      <c r="G5" s="175">
        <v>3</v>
      </c>
      <c r="H5" s="175">
        <v>2</v>
      </c>
      <c r="I5" s="175" t="s">
        <v>350</v>
      </c>
      <c r="J5" s="175" t="s">
        <v>351</v>
      </c>
      <c r="K5" s="175" t="s">
        <v>352</v>
      </c>
      <c r="L5" s="175" t="s">
        <v>106</v>
      </c>
      <c r="M5" s="175">
        <v>12</v>
      </c>
      <c r="N5" s="62" t="str">
        <f>VLOOKUP(C5,Лист1!$B$4:$B$55,1,0)</f>
        <v>КФП "Арсенал"</v>
      </c>
    </row>
    <row r="6" spans="2:14" ht="17.25" customHeight="1">
      <c r="B6" s="173" t="s">
        <v>167</v>
      </c>
      <c r="C6" s="176" t="s">
        <v>168</v>
      </c>
      <c r="D6" s="175">
        <v>14</v>
      </c>
      <c r="E6" s="175">
        <v>11</v>
      </c>
      <c r="F6" s="175">
        <v>5</v>
      </c>
      <c r="G6" s="175">
        <v>4</v>
      </c>
      <c r="H6" s="175">
        <v>2</v>
      </c>
      <c r="I6" s="175" t="s">
        <v>353</v>
      </c>
      <c r="J6" s="175" t="s">
        <v>162</v>
      </c>
      <c r="K6" s="175" t="s">
        <v>354</v>
      </c>
      <c r="L6" s="175" t="s">
        <v>106</v>
      </c>
      <c r="M6" s="175">
        <v>12</v>
      </c>
      <c r="N6" s="62" t="str">
        <f>VLOOKUP(C6,Лист1!$B$4:$B$55,1,0)</f>
        <v>SaSiSa</v>
      </c>
    </row>
    <row r="7" spans="2:14" ht="17.25" customHeight="1">
      <c r="B7" s="173" t="s">
        <v>204</v>
      </c>
      <c r="C7" s="176" t="s">
        <v>178</v>
      </c>
      <c r="D7" s="175">
        <v>13</v>
      </c>
      <c r="E7" s="175">
        <v>11</v>
      </c>
      <c r="F7" s="175">
        <v>6</v>
      </c>
      <c r="G7" s="175">
        <v>1</v>
      </c>
      <c r="H7" s="175">
        <v>4</v>
      </c>
      <c r="I7" s="175" t="s">
        <v>355</v>
      </c>
      <c r="J7" s="175" t="s">
        <v>117</v>
      </c>
      <c r="K7" s="175" t="s">
        <v>356</v>
      </c>
      <c r="L7" s="175" t="s">
        <v>106</v>
      </c>
      <c r="M7" s="175">
        <v>12</v>
      </c>
      <c r="N7" s="62" t="str">
        <f>VLOOKUP(C7,Лист1!$B$4:$B$55,1,0)</f>
        <v>eurocups.ru</v>
      </c>
    </row>
    <row r="8" spans="2:14" ht="17.25" customHeight="1">
      <c r="B8" s="390" t="s">
        <v>205</v>
      </c>
      <c r="C8" s="393" t="s">
        <v>124</v>
      </c>
      <c r="D8" s="391">
        <v>13</v>
      </c>
      <c r="E8" s="391">
        <v>12</v>
      </c>
      <c r="F8" s="391">
        <v>6</v>
      </c>
      <c r="G8" s="391">
        <v>1</v>
      </c>
      <c r="H8" s="391">
        <v>5</v>
      </c>
      <c r="I8" s="391" t="s">
        <v>413</v>
      </c>
      <c r="J8" s="391" t="s">
        <v>116</v>
      </c>
      <c r="K8" s="391" t="s">
        <v>357</v>
      </c>
      <c r="L8" s="391" t="s">
        <v>106</v>
      </c>
      <c r="M8" s="391" t="s">
        <v>149</v>
      </c>
      <c r="N8" s="62" t="str">
        <f>VLOOKUP(C8,Лист1!$B$4:$B$55,1,0)</f>
        <v>КЛФП "Харьков"</v>
      </c>
    </row>
    <row r="9" spans="2:14" ht="17.25" customHeight="1">
      <c r="B9" s="390" t="s">
        <v>206</v>
      </c>
      <c r="C9" s="393" t="s">
        <v>64</v>
      </c>
      <c r="D9" s="391">
        <v>15</v>
      </c>
      <c r="E9" s="391">
        <v>12</v>
      </c>
      <c r="F9" s="391">
        <v>7</v>
      </c>
      <c r="G9" s="391">
        <v>0</v>
      </c>
      <c r="H9" s="391">
        <v>5</v>
      </c>
      <c r="I9" s="391" t="s">
        <v>414</v>
      </c>
      <c r="J9" s="391" t="s">
        <v>117</v>
      </c>
      <c r="K9" s="391" t="s">
        <v>358</v>
      </c>
      <c r="L9" s="391" t="s">
        <v>106</v>
      </c>
      <c r="M9" s="391">
        <v>12</v>
      </c>
      <c r="N9" s="62" t="str">
        <f>VLOOKUP(C9,Лист1!$B$4:$B$55,1,0)</f>
        <v>ВФЛ КБК</v>
      </c>
    </row>
    <row r="10" spans="2:14" ht="17.25" customHeight="1">
      <c r="B10" s="174" t="s">
        <v>207</v>
      </c>
      <c r="C10" s="165" t="s">
        <v>86</v>
      </c>
      <c r="D10" s="164">
        <v>11</v>
      </c>
      <c r="E10" s="164">
        <v>11</v>
      </c>
      <c r="F10" s="164">
        <v>5</v>
      </c>
      <c r="G10" s="164">
        <v>1</v>
      </c>
      <c r="H10" s="164">
        <v>5</v>
      </c>
      <c r="I10" s="164" t="s">
        <v>359</v>
      </c>
      <c r="J10" s="164" t="s">
        <v>117</v>
      </c>
      <c r="K10" s="164" t="s">
        <v>352</v>
      </c>
      <c r="L10" s="164" t="s">
        <v>106</v>
      </c>
      <c r="M10" s="164" t="s">
        <v>194</v>
      </c>
      <c r="N10" s="62" t="str">
        <f>VLOOKUP(C10,Лист1!$B$4:$B$55,1,0)</f>
        <v>Красно-Белый Израиль (КБИ)</v>
      </c>
    </row>
    <row r="11" spans="2:14" ht="17.25" customHeight="1">
      <c r="B11" s="174" t="s">
        <v>309</v>
      </c>
      <c r="C11" s="165" t="s">
        <v>9</v>
      </c>
      <c r="D11" s="164">
        <v>11</v>
      </c>
      <c r="E11" s="164">
        <v>11</v>
      </c>
      <c r="F11" s="164">
        <v>4</v>
      </c>
      <c r="G11" s="164">
        <v>3</v>
      </c>
      <c r="H11" s="164">
        <v>4</v>
      </c>
      <c r="I11" s="164" t="s">
        <v>360</v>
      </c>
      <c r="J11" s="164" t="s">
        <v>111</v>
      </c>
      <c r="K11" s="164" t="s">
        <v>361</v>
      </c>
      <c r="L11" s="164" t="s">
        <v>106</v>
      </c>
      <c r="M11" s="164" t="s">
        <v>409</v>
      </c>
      <c r="N11" s="62" t="str">
        <f>VLOOKUP(C11,Лист1!$B$4:$B$55,1,0)</f>
        <v>Fprognoz.com</v>
      </c>
    </row>
    <row r="12" spans="2:14" ht="17.25" customHeight="1">
      <c r="B12" s="174" t="s">
        <v>310</v>
      </c>
      <c r="C12" s="165" t="s">
        <v>134</v>
      </c>
      <c r="D12" s="164">
        <v>11</v>
      </c>
      <c r="E12" s="164">
        <v>11</v>
      </c>
      <c r="F12" s="164">
        <v>5</v>
      </c>
      <c r="G12" s="164">
        <v>1</v>
      </c>
      <c r="H12" s="164">
        <v>5</v>
      </c>
      <c r="I12" s="164" t="s">
        <v>362</v>
      </c>
      <c r="J12" s="164" t="s">
        <v>218</v>
      </c>
      <c r="K12" s="164" t="s">
        <v>363</v>
      </c>
      <c r="L12" s="164" t="s">
        <v>106</v>
      </c>
      <c r="M12" s="164" t="s">
        <v>165</v>
      </c>
      <c r="N12" s="62" t="str">
        <f>VLOOKUP(C12,Лист1!$B$4:$B$55,1,0)</f>
        <v>ОЛФП Одесса</v>
      </c>
    </row>
    <row r="13" spans="2:14" ht="17.25" customHeight="1">
      <c r="B13" s="174" t="s">
        <v>311</v>
      </c>
      <c r="C13" s="165" t="s">
        <v>13</v>
      </c>
      <c r="D13" s="164">
        <v>9</v>
      </c>
      <c r="E13" s="164">
        <v>11</v>
      </c>
      <c r="F13" s="164">
        <v>3</v>
      </c>
      <c r="G13" s="164">
        <v>3</v>
      </c>
      <c r="H13" s="164">
        <v>5</v>
      </c>
      <c r="I13" s="164" t="s">
        <v>364</v>
      </c>
      <c r="J13" s="164" t="s">
        <v>114</v>
      </c>
      <c r="K13" s="164" t="s">
        <v>365</v>
      </c>
      <c r="L13" s="164" t="s">
        <v>106</v>
      </c>
      <c r="M13" s="164" t="s">
        <v>326</v>
      </c>
      <c r="N13" s="62" t="str">
        <f>VLOOKUP(C13,Лист1!$B$4:$B$55,1,0)</f>
        <v>Onedivision</v>
      </c>
    </row>
    <row r="14" spans="2:14" ht="17.25" customHeight="1">
      <c r="B14" s="174" t="s">
        <v>312</v>
      </c>
      <c r="C14" s="165" t="s">
        <v>208</v>
      </c>
      <c r="D14" s="164">
        <v>9</v>
      </c>
      <c r="E14" s="164">
        <v>11</v>
      </c>
      <c r="F14" s="164">
        <v>3</v>
      </c>
      <c r="G14" s="164">
        <v>4</v>
      </c>
      <c r="H14" s="164">
        <v>4</v>
      </c>
      <c r="I14" s="164" t="s">
        <v>366</v>
      </c>
      <c r="J14" s="164" t="s">
        <v>118</v>
      </c>
      <c r="K14" s="164" t="s">
        <v>217</v>
      </c>
      <c r="L14" s="164" t="s">
        <v>108</v>
      </c>
      <c r="M14" s="164" t="s">
        <v>410</v>
      </c>
      <c r="N14" s="62" t="str">
        <f>VLOOKUP(C14,Лист1!$B$4:$B$55,1,0)</f>
        <v>MyFkip</v>
      </c>
    </row>
    <row r="15" spans="2:14" ht="17.25" customHeight="1">
      <c r="B15" s="174" t="s">
        <v>313</v>
      </c>
      <c r="C15" s="165" t="s">
        <v>67</v>
      </c>
      <c r="D15" s="164">
        <v>7</v>
      </c>
      <c r="E15" s="164">
        <v>11</v>
      </c>
      <c r="F15" s="164">
        <v>2</v>
      </c>
      <c r="G15" s="164">
        <v>3</v>
      </c>
      <c r="H15" s="164">
        <v>6</v>
      </c>
      <c r="I15" s="164" t="s">
        <v>367</v>
      </c>
      <c r="J15" s="164" t="s">
        <v>113</v>
      </c>
      <c r="K15" s="164" t="s">
        <v>213</v>
      </c>
      <c r="L15" s="164" t="s">
        <v>106</v>
      </c>
      <c r="M15" s="164" t="s">
        <v>411</v>
      </c>
      <c r="N15" s="62" t="str">
        <f>VLOOKUP(C15,Лист1!$B$4:$B$55,1,0)</f>
        <v>SFP</v>
      </c>
    </row>
    <row r="16" spans="2:14" ht="17.25" customHeight="1">
      <c r="B16" s="174" t="s">
        <v>314</v>
      </c>
      <c r="C16" s="165" t="s">
        <v>65</v>
      </c>
      <c r="D16" s="164">
        <v>6</v>
      </c>
      <c r="E16" s="164">
        <v>11</v>
      </c>
      <c r="F16" s="164">
        <v>2</v>
      </c>
      <c r="G16" s="164">
        <v>2</v>
      </c>
      <c r="H16" s="164">
        <v>7</v>
      </c>
      <c r="I16" s="164" t="s">
        <v>368</v>
      </c>
      <c r="J16" s="164" t="s">
        <v>369</v>
      </c>
      <c r="K16" s="164" t="s">
        <v>211</v>
      </c>
      <c r="L16" s="164" t="s">
        <v>106</v>
      </c>
      <c r="M16" s="164" t="s">
        <v>412</v>
      </c>
      <c r="N16" s="62" t="str">
        <f>VLOOKUP(C16,Лист1!$B$4:$B$55,1,0)</f>
        <v>КЛФП-Минск</v>
      </c>
    </row>
    <row r="17" spans="2:13" ht="17.25" customHeight="1">
      <c r="B17" s="470" t="s">
        <v>57</v>
      </c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288"/>
    </row>
    <row r="18" spans="2:13" ht="17.25" customHeight="1">
      <c r="B18" s="163" t="s">
        <v>26</v>
      </c>
      <c r="C18" s="163" t="s">
        <v>349</v>
      </c>
      <c r="D18" s="163" t="s">
        <v>6</v>
      </c>
      <c r="E18" s="163" t="s">
        <v>1</v>
      </c>
      <c r="F18" s="163" t="s">
        <v>2</v>
      </c>
      <c r="G18" s="163" t="s">
        <v>3</v>
      </c>
      <c r="H18" s="163" t="s">
        <v>4</v>
      </c>
      <c r="I18" s="163" t="s">
        <v>54</v>
      </c>
      <c r="J18" s="163" t="s">
        <v>5</v>
      </c>
      <c r="K18" s="163" t="s">
        <v>55</v>
      </c>
      <c r="L18" s="163" t="s">
        <v>56</v>
      </c>
      <c r="M18" s="163" t="s">
        <v>56</v>
      </c>
    </row>
    <row r="19" spans="2:14" ht="17.25" customHeight="1">
      <c r="B19" s="173" t="s">
        <v>166</v>
      </c>
      <c r="C19" s="176" t="s">
        <v>123</v>
      </c>
      <c r="D19" s="175">
        <v>15</v>
      </c>
      <c r="E19" s="175">
        <v>11</v>
      </c>
      <c r="F19" s="175">
        <v>5</v>
      </c>
      <c r="G19" s="175">
        <v>5</v>
      </c>
      <c r="H19" s="175">
        <v>1</v>
      </c>
      <c r="I19" s="175" t="s">
        <v>370</v>
      </c>
      <c r="J19" s="175" t="s">
        <v>216</v>
      </c>
      <c r="K19" s="175" t="s">
        <v>371</v>
      </c>
      <c r="L19" s="175" t="s">
        <v>106</v>
      </c>
      <c r="M19" s="175">
        <v>12</v>
      </c>
      <c r="N19" s="62" t="str">
        <f>VLOOKUP(C19,Лист1!$B$4:$B$55,1,0)</f>
        <v>RED ARMY</v>
      </c>
    </row>
    <row r="20" spans="2:14" ht="17.25" customHeight="1">
      <c r="B20" s="173" t="s">
        <v>167</v>
      </c>
      <c r="C20" s="176" t="s">
        <v>126</v>
      </c>
      <c r="D20" s="175">
        <v>14</v>
      </c>
      <c r="E20" s="175">
        <v>11</v>
      </c>
      <c r="F20" s="175">
        <v>7</v>
      </c>
      <c r="G20" s="175">
        <v>0</v>
      </c>
      <c r="H20" s="175">
        <v>4</v>
      </c>
      <c r="I20" s="175" t="s">
        <v>372</v>
      </c>
      <c r="J20" s="175" t="s">
        <v>107</v>
      </c>
      <c r="K20" s="175" t="s">
        <v>352</v>
      </c>
      <c r="L20" s="175" t="s">
        <v>106</v>
      </c>
      <c r="M20" s="175">
        <v>12</v>
      </c>
      <c r="N20" s="62" t="str">
        <f>VLOOKUP(C20,Лист1!$B$4:$B$55,1,0)</f>
        <v>Red Anfield</v>
      </c>
    </row>
    <row r="21" spans="2:14" ht="17.25" customHeight="1">
      <c r="B21" s="173" t="s">
        <v>204</v>
      </c>
      <c r="C21" s="176" t="s">
        <v>69</v>
      </c>
      <c r="D21" s="175">
        <v>14</v>
      </c>
      <c r="E21" s="175">
        <v>11</v>
      </c>
      <c r="F21" s="175">
        <v>7</v>
      </c>
      <c r="G21" s="175">
        <v>1</v>
      </c>
      <c r="H21" s="175">
        <v>3</v>
      </c>
      <c r="I21" s="175" t="s">
        <v>373</v>
      </c>
      <c r="J21" s="175" t="s">
        <v>107</v>
      </c>
      <c r="K21" s="175" t="s">
        <v>214</v>
      </c>
      <c r="L21" s="175" t="s">
        <v>108</v>
      </c>
      <c r="M21" s="175">
        <v>12</v>
      </c>
      <c r="N21" s="62" t="str">
        <f>VLOOKUP(C21,Лист1!$B$4:$B$55,1,0)</f>
        <v>sportgiant.net</v>
      </c>
    </row>
    <row r="22" spans="2:14" ht="17.25" customHeight="1">
      <c r="B22" s="390" t="s">
        <v>205</v>
      </c>
      <c r="C22" s="393" t="s">
        <v>158</v>
      </c>
      <c r="D22" s="391">
        <v>13</v>
      </c>
      <c r="E22" s="391">
        <v>12</v>
      </c>
      <c r="F22" s="391">
        <v>6</v>
      </c>
      <c r="G22" s="391">
        <v>1</v>
      </c>
      <c r="H22" s="391">
        <v>5</v>
      </c>
      <c r="I22" s="391" t="s">
        <v>415</v>
      </c>
      <c r="J22" s="391" t="s">
        <v>416</v>
      </c>
      <c r="K22" s="391" t="s">
        <v>352</v>
      </c>
      <c r="L22" s="391" t="s">
        <v>106</v>
      </c>
      <c r="M22" s="391" t="s">
        <v>149</v>
      </c>
      <c r="N22" s="62" t="str">
        <f>VLOOKUP(C22,Лист1!$B$4:$B$55,1,0)</f>
        <v>Сборная Мегаспорта</v>
      </c>
    </row>
    <row r="23" spans="2:14" ht="17.25" customHeight="1">
      <c r="B23" s="390" t="s">
        <v>206</v>
      </c>
      <c r="C23" s="393" t="s">
        <v>201</v>
      </c>
      <c r="D23" s="391">
        <v>15</v>
      </c>
      <c r="E23" s="391">
        <v>12</v>
      </c>
      <c r="F23" s="391">
        <v>6</v>
      </c>
      <c r="G23" s="391">
        <v>2</v>
      </c>
      <c r="H23" s="391">
        <v>4</v>
      </c>
      <c r="I23" s="391" t="s">
        <v>417</v>
      </c>
      <c r="J23" s="391" t="s">
        <v>112</v>
      </c>
      <c r="K23" s="391" t="s">
        <v>363</v>
      </c>
      <c r="L23" s="391" t="s">
        <v>106</v>
      </c>
      <c r="M23" s="391">
        <v>12</v>
      </c>
      <c r="N23" s="62" t="str">
        <f>VLOOKUP(C23,Лист1!$B$4:$B$55,1,0)</f>
        <v>Эксперты IВUрrоg</v>
      </c>
    </row>
    <row r="24" spans="2:14" ht="17.25" customHeight="1">
      <c r="B24" s="174" t="s">
        <v>207</v>
      </c>
      <c r="C24" s="165" t="s">
        <v>132</v>
      </c>
      <c r="D24" s="164">
        <v>12</v>
      </c>
      <c r="E24" s="164">
        <v>11</v>
      </c>
      <c r="F24" s="164">
        <v>5</v>
      </c>
      <c r="G24" s="164">
        <v>2</v>
      </c>
      <c r="H24" s="164">
        <v>4</v>
      </c>
      <c r="I24" s="164" t="s">
        <v>374</v>
      </c>
      <c r="J24" s="164" t="s">
        <v>110</v>
      </c>
      <c r="K24" s="164" t="s">
        <v>357</v>
      </c>
      <c r="L24" s="164" t="s">
        <v>106</v>
      </c>
      <c r="M24" s="164" t="s">
        <v>194</v>
      </c>
      <c r="N24" s="62" t="str">
        <f>VLOOKUP(C24,Лист1!$B$4:$B$55,1,0)</f>
        <v>ФК Форвард</v>
      </c>
    </row>
    <row r="25" spans="2:14" ht="17.25" customHeight="1">
      <c r="B25" s="174" t="s">
        <v>309</v>
      </c>
      <c r="C25" s="165" t="s">
        <v>60</v>
      </c>
      <c r="D25" s="164">
        <v>10</v>
      </c>
      <c r="E25" s="164">
        <v>11</v>
      </c>
      <c r="F25" s="164">
        <v>5</v>
      </c>
      <c r="G25" s="164">
        <v>0</v>
      </c>
      <c r="H25" s="164">
        <v>6</v>
      </c>
      <c r="I25" s="164" t="s">
        <v>375</v>
      </c>
      <c r="J25" s="164" t="s">
        <v>107</v>
      </c>
      <c r="K25" s="164" t="s">
        <v>357</v>
      </c>
      <c r="L25" s="164" t="s">
        <v>106</v>
      </c>
      <c r="M25" s="164" t="s">
        <v>409</v>
      </c>
      <c r="N25" s="62" t="str">
        <f>VLOOKUP(C25,Лист1!$B$4:$B$55,1,0)</f>
        <v>Чемпионат Прогнозов</v>
      </c>
    </row>
    <row r="26" spans="2:14" ht="17.25" customHeight="1">
      <c r="B26" s="174" t="s">
        <v>310</v>
      </c>
      <c r="C26" s="165" t="s">
        <v>8</v>
      </c>
      <c r="D26" s="164">
        <v>10</v>
      </c>
      <c r="E26" s="164">
        <v>11</v>
      </c>
      <c r="F26" s="164">
        <v>5</v>
      </c>
      <c r="G26" s="164">
        <v>1</v>
      </c>
      <c r="H26" s="164">
        <v>5</v>
      </c>
      <c r="I26" s="164" t="s">
        <v>376</v>
      </c>
      <c r="J26" s="164" t="s">
        <v>117</v>
      </c>
      <c r="K26" s="164" t="s">
        <v>377</v>
      </c>
      <c r="L26" s="164" t="s">
        <v>108</v>
      </c>
      <c r="M26" s="164" t="s">
        <v>165</v>
      </c>
      <c r="N26" s="62" t="str">
        <f>VLOOKUP(C26,Лист1!$B$4:$B$55,1,0)</f>
        <v>VOON.RU</v>
      </c>
    </row>
    <row r="27" spans="2:14" ht="17.25" customHeight="1">
      <c r="B27" s="174" t="s">
        <v>311</v>
      </c>
      <c r="C27" s="165" t="s">
        <v>7</v>
      </c>
      <c r="D27" s="164">
        <v>9</v>
      </c>
      <c r="E27" s="164">
        <v>11</v>
      </c>
      <c r="F27" s="164">
        <v>4</v>
      </c>
      <c r="G27" s="164">
        <v>1</v>
      </c>
      <c r="H27" s="164">
        <v>6</v>
      </c>
      <c r="I27" s="164" t="s">
        <v>378</v>
      </c>
      <c r="J27" s="164" t="s">
        <v>109</v>
      </c>
      <c r="K27" s="164" t="s">
        <v>354</v>
      </c>
      <c r="L27" s="164" t="s">
        <v>106</v>
      </c>
      <c r="M27" s="164" t="s">
        <v>326</v>
      </c>
      <c r="N27" s="62" t="str">
        <f>VLOOKUP(C27,Лист1!$B$4:$B$55,1,0)</f>
        <v>АФК-Кузбасс</v>
      </c>
    </row>
    <row r="28" spans="2:14" ht="17.25" customHeight="1">
      <c r="B28" s="174" t="s">
        <v>312</v>
      </c>
      <c r="C28" s="165" t="s">
        <v>11</v>
      </c>
      <c r="D28" s="164">
        <v>8</v>
      </c>
      <c r="E28" s="164">
        <v>11</v>
      </c>
      <c r="F28" s="164">
        <v>4</v>
      </c>
      <c r="G28" s="164">
        <v>0</v>
      </c>
      <c r="H28" s="164">
        <v>7</v>
      </c>
      <c r="I28" s="164" t="s">
        <v>379</v>
      </c>
      <c r="J28" s="164" t="s">
        <v>218</v>
      </c>
      <c r="K28" s="164" t="s">
        <v>213</v>
      </c>
      <c r="L28" s="164" t="s">
        <v>106</v>
      </c>
      <c r="M28" s="164" t="s">
        <v>410</v>
      </c>
      <c r="N28" s="62" t="str">
        <f>VLOOKUP(C28,Лист1!$B$4:$B$55,1,0)</f>
        <v>liga1.ru</v>
      </c>
    </row>
    <row r="29" spans="2:14" ht="17.25" customHeight="1">
      <c r="B29" s="174" t="s">
        <v>313</v>
      </c>
      <c r="C29" s="165" t="s">
        <v>130</v>
      </c>
      <c r="D29" s="164">
        <v>7</v>
      </c>
      <c r="E29" s="164">
        <v>11</v>
      </c>
      <c r="F29" s="164">
        <v>3</v>
      </c>
      <c r="G29" s="164">
        <v>2</v>
      </c>
      <c r="H29" s="164">
        <v>6</v>
      </c>
      <c r="I29" s="164" t="s">
        <v>380</v>
      </c>
      <c r="J29" s="164" t="s">
        <v>381</v>
      </c>
      <c r="K29" s="164" t="s">
        <v>382</v>
      </c>
      <c r="L29" s="164" t="s">
        <v>108</v>
      </c>
      <c r="M29" s="164" t="s">
        <v>411</v>
      </c>
      <c r="N29" s="62" t="str">
        <f>VLOOKUP(C29,Лист1!$B$4:$B$55,1,0)</f>
        <v>TotalZone.ru</v>
      </c>
    </row>
    <row r="30" spans="2:14" ht="17.25" customHeight="1">
      <c r="B30" s="174" t="s">
        <v>314</v>
      </c>
      <c r="C30" s="165" t="s">
        <v>12</v>
      </c>
      <c r="D30" s="164">
        <v>5</v>
      </c>
      <c r="E30" s="164">
        <v>11</v>
      </c>
      <c r="F30" s="164">
        <v>2</v>
      </c>
      <c r="G30" s="164">
        <v>1</v>
      </c>
      <c r="H30" s="164">
        <v>8</v>
      </c>
      <c r="I30" s="164" t="s">
        <v>383</v>
      </c>
      <c r="J30" s="164" t="s">
        <v>384</v>
      </c>
      <c r="K30" s="164" t="s">
        <v>385</v>
      </c>
      <c r="L30" s="164" t="s">
        <v>106</v>
      </c>
      <c r="M30" s="164" t="s">
        <v>412</v>
      </c>
      <c r="N30" s="62" t="str">
        <f>VLOOKUP(C30,Лист1!$B$4:$B$55,1,0)</f>
        <v>KFP.RU</v>
      </c>
    </row>
    <row r="31" spans="2:13" ht="17.25" customHeight="1">
      <c r="B31" s="470" t="s">
        <v>58</v>
      </c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288"/>
    </row>
    <row r="32" spans="2:13" ht="17.25" customHeight="1">
      <c r="B32" s="163" t="s">
        <v>26</v>
      </c>
      <c r="C32" s="163" t="s">
        <v>349</v>
      </c>
      <c r="D32" s="163" t="s">
        <v>6</v>
      </c>
      <c r="E32" s="163" t="s">
        <v>1</v>
      </c>
      <c r="F32" s="163" t="s">
        <v>2</v>
      </c>
      <c r="G32" s="163" t="s">
        <v>3</v>
      </c>
      <c r="H32" s="163" t="s">
        <v>4</v>
      </c>
      <c r="I32" s="163" t="s">
        <v>54</v>
      </c>
      <c r="J32" s="163" t="s">
        <v>5</v>
      </c>
      <c r="K32" s="163" t="s">
        <v>55</v>
      </c>
      <c r="L32" s="163" t="s">
        <v>56</v>
      </c>
      <c r="M32" s="163" t="s">
        <v>56</v>
      </c>
    </row>
    <row r="33" spans="2:14" ht="17.25" customHeight="1">
      <c r="B33" s="173" t="s">
        <v>166</v>
      </c>
      <c r="C33" s="176" t="s">
        <v>62</v>
      </c>
      <c r="D33" s="175">
        <v>16</v>
      </c>
      <c r="E33" s="175">
        <v>11</v>
      </c>
      <c r="F33" s="175">
        <v>8</v>
      </c>
      <c r="G33" s="175">
        <v>0</v>
      </c>
      <c r="H33" s="175">
        <v>3</v>
      </c>
      <c r="I33" s="175" t="s">
        <v>386</v>
      </c>
      <c r="J33" s="175" t="s">
        <v>387</v>
      </c>
      <c r="K33" s="175" t="s">
        <v>388</v>
      </c>
      <c r="L33" s="175" t="s">
        <v>106</v>
      </c>
      <c r="M33" s="175">
        <v>12</v>
      </c>
      <c r="N33" s="62" t="str">
        <f>VLOOKUP(C33,Лист1!$B$4:$B$55,1,0)</f>
        <v>Kanonir.Com</v>
      </c>
    </row>
    <row r="34" spans="2:14" ht="17.25" customHeight="1" thickBot="1">
      <c r="B34" s="173" t="s">
        <v>167</v>
      </c>
      <c r="C34" s="289" t="s">
        <v>14</v>
      </c>
      <c r="D34" s="175">
        <v>15</v>
      </c>
      <c r="E34" s="175">
        <v>11</v>
      </c>
      <c r="F34" s="175">
        <v>6</v>
      </c>
      <c r="G34" s="175">
        <v>3</v>
      </c>
      <c r="H34" s="175">
        <v>2</v>
      </c>
      <c r="I34" s="175" t="s">
        <v>389</v>
      </c>
      <c r="J34" s="175" t="s">
        <v>116</v>
      </c>
      <c r="K34" s="175" t="s">
        <v>388</v>
      </c>
      <c r="L34" s="175" t="s">
        <v>106</v>
      </c>
      <c r="M34" s="175">
        <v>12</v>
      </c>
      <c r="N34" s="62" t="str">
        <f>VLOOKUP(C34,Лист1!$B$4:$B$55,1,0)</f>
        <v>7-40</v>
      </c>
    </row>
    <row r="35" spans="2:14" ht="17.25" customHeight="1">
      <c r="B35" s="173" t="s">
        <v>204</v>
      </c>
      <c r="C35" s="176" t="s">
        <v>63</v>
      </c>
      <c r="D35" s="175">
        <v>15</v>
      </c>
      <c r="E35" s="175">
        <v>11</v>
      </c>
      <c r="F35" s="175">
        <v>7</v>
      </c>
      <c r="G35" s="175">
        <v>1</v>
      </c>
      <c r="H35" s="175">
        <v>3</v>
      </c>
      <c r="I35" s="175" t="s">
        <v>390</v>
      </c>
      <c r="J35" s="175" t="s">
        <v>215</v>
      </c>
      <c r="K35" s="175" t="s">
        <v>212</v>
      </c>
      <c r="L35" s="175" t="s">
        <v>106</v>
      </c>
      <c r="M35" s="175">
        <v>12</v>
      </c>
      <c r="N35" s="62" t="str">
        <f>VLOOKUP(C35,Лист1!$B$4:$B$55,1,0)</f>
        <v>SEclub.org</v>
      </c>
    </row>
    <row r="36" spans="2:14" ht="17.25" customHeight="1">
      <c r="B36" s="390" t="s">
        <v>205</v>
      </c>
      <c r="C36" s="393" t="s">
        <v>128</v>
      </c>
      <c r="D36" s="391">
        <v>12</v>
      </c>
      <c r="E36" s="391">
        <v>12</v>
      </c>
      <c r="F36" s="391">
        <v>5</v>
      </c>
      <c r="G36" s="391">
        <v>2</v>
      </c>
      <c r="H36" s="391">
        <v>5</v>
      </c>
      <c r="I36" s="391" t="s">
        <v>418</v>
      </c>
      <c r="J36" s="391" t="s">
        <v>419</v>
      </c>
      <c r="K36" s="391" t="s">
        <v>391</v>
      </c>
      <c r="L36" s="391" t="s">
        <v>106</v>
      </c>
      <c r="M36" s="391" t="s">
        <v>149</v>
      </c>
      <c r="N36" s="62" t="str">
        <f>VLOOKUP(C36,Лист1!$B$4:$B$55,1,0)</f>
        <v>Профессионалы прогноза</v>
      </c>
    </row>
    <row r="37" spans="2:14" ht="17.25" customHeight="1">
      <c r="B37" s="390" t="s">
        <v>206</v>
      </c>
      <c r="C37" s="393" t="s">
        <v>83</v>
      </c>
      <c r="D37" s="391">
        <v>15</v>
      </c>
      <c r="E37" s="391">
        <v>12</v>
      </c>
      <c r="F37" s="391">
        <v>7</v>
      </c>
      <c r="G37" s="391">
        <v>0</v>
      </c>
      <c r="H37" s="391">
        <v>5</v>
      </c>
      <c r="I37" s="391" t="s">
        <v>420</v>
      </c>
      <c r="J37" s="391">
        <v>1</v>
      </c>
      <c r="K37" s="391" t="s">
        <v>393</v>
      </c>
      <c r="L37" s="391" t="s">
        <v>106</v>
      </c>
      <c r="M37" s="391">
        <v>12</v>
      </c>
      <c r="N37" s="62" t="str">
        <f>VLOOKUP(C37,Лист1!$B$4:$B$55,1,0)</f>
        <v>КСП "Торпедо" им. Эдуарда Стрельцова</v>
      </c>
    </row>
    <row r="38" spans="2:14" ht="17.25" customHeight="1">
      <c r="B38" s="174" t="s">
        <v>207</v>
      </c>
      <c r="C38" s="165" t="s">
        <v>129</v>
      </c>
      <c r="D38" s="164">
        <v>11</v>
      </c>
      <c r="E38" s="164">
        <v>11</v>
      </c>
      <c r="F38" s="164">
        <v>4</v>
      </c>
      <c r="G38" s="164">
        <v>3</v>
      </c>
      <c r="H38" s="164">
        <v>4</v>
      </c>
      <c r="I38" s="164" t="s">
        <v>394</v>
      </c>
      <c r="J38" s="164" t="s">
        <v>162</v>
      </c>
      <c r="K38" s="164" t="s">
        <v>395</v>
      </c>
      <c r="L38" s="164" t="s">
        <v>106</v>
      </c>
      <c r="M38" s="164" t="s">
        <v>194</v>
      </c>
      <c r="N38" s="62" t="str">
        <f>VLOOKUP(C38,Лист1!$B$4:$B$55,1,0)</f>
        <v>АСП "Погоня"</v>
      </c>
    </row>
    <row r="39" spans="2:14" ht="17.25" customHeight="1">
      <c r="B39" s="174" t="s">
        <v>309</v>
      </c>
      <c r="C39" s="165" t="s">
        <v>22</v>
      </c>
      <c r="D39" s="164">
        <v>10</v>
      </c>
      <c r="E39" s="164">
        <v>11</v>
      </c>
      <c r="F39" s="164">
        <v>3</v>
      </c>
      <c r="G39" s="164">
        <v>4</v>
      </c>
      <c r="H39" s="164">
        <v>4</v>
      </c>
      <c r="I39" s="164" t="s">
        <v>396</v>
      </c>
      <c r="J39" s="164" t="s">
        <v>109</v>
      </c>
      <c r="K39" s="164" t="s">
        <v>397</v>
      </c>
      <c r="L39" s="164" t="s">
        <v>106</v>
      </c>
      <c r="M39" s="164" t="s">
        <v>409</v>
      </c>
      <c r="N39" s="62" t="str">
        <f>VLOOKUP(C39,Лист1!$B$4:$B$55,1,0)</f>
        <v>PrimeGang</v>
      </c>
    </row>
    <row r="40" spans="2:14" ht="17.25" customHeight="1">
      <c r="B40" s="174" t="s">
        <v>310</v>
      </c>
      <c r="C40" s="165" t="s">
        <v>174</v>
      </c>
      <c r="D40" s="164">
        <v>9</v>
      </c>
      <c r="E40" s="164">
        <v>11</v>
      </c>
      <c r="F40" s="164">
        <v>4</v>
      </c>
      <c r="G40" s="164">
        <v>1</v>
      </c>
      <c r="H40" s="164">
        <v>6</v>
      </c>
      <c r="I40" s="164" t="s">
        <v>392</v>
      </c>
      <c r="J40" s="164" t="s">
        <v>106</v>
      </c>
      <c r="K40" s="164" t="s">
        <v>391</v>
      </c>
      <c r="L40" s="164" t="s">
        <v>106</v>
      </c>
      <c r="M40" s="164" t="s">
        <v>165</v>
      </c>
      <c r="N40" s="62" t="str">
        <f>VLOOKUP(C40,Лист1!$B$4:$B$55,1,0)</f>
        <v>fpk-prognoz.ru</v>
      </c>
    </row>
    <row r="41" spans="2:14" ht="17.25" customHeight="1">
      <c r="B41" s="174" t="s">
        <v>311</v>
      </c>
      <c r="C41" s="165" t="s">
        <v>200</v>
      </c>
      <c r="D41" s="164">
        <v>9</v>
      </c>
      <c r="E41" s="164">
        <v>11</v>
      </c>
      <c r="F41" s="164">
        <v>4</v>
      </c>
      <c r="G41" s="164">
        <v>1</v>
      </c>
      <c r="H41" s="164">
        <v>6</v>
      </c>
      <c r="I41" s="164" t="s">
        <v>398</v>
      </c>
      <c r="J41" s="164" t="s">
        <v>109</v>
      </c>
      <c r="K41" s="164" t="s">
        <v>363</v>
      </c>
      <c r="L41" s="164" t="s">
        <v>106</v>
      </c>
      <c r="M41" s="164" t="s">
        <v>326</v>
      </c>
      <c r="N41" s="62" t="str">
        <f>VLOOKUP(C41,Лист1!$B$4:$B$55,1,0)</f>
        <v>Спартанцы IT</v>
      </c>
    </row>
    <row r="42" spans="2:14" ht="17.25" customHeight="1">
      <c r="B42" s="174" t="s">
        <v>312</v>
      </c>
      <c r="C42" s="165" t="s">
        <v>127</v>
      </c>
      <c r="D42" s="164">
        <v>9</v>
      </c>
      <c r="E42" s="164">
        <v>11</v>
      </c>
      <c r="F42" s="164">
        <v>4</v>
      </c>
      <c r="G42" s="164">
        <v>1</v>
      </c>
      <c r="H42" s="164">
        <v>6</v>
      </c>
      <c r="I42" s="164" t="s">
        <v>399</v>
      </c>
      <c r="J42" s="164" t="s">
        <v>115</v>
      </c>
      <c r="K42" s="164" t="s">
        <v>363</v>
      </c>
      <c r="L42" s="164" t="s">
        <v>106</v>
      </c>
      <c r="M42" s="164" t="s">
        <v>410</v>
      </c>
      <c r="N42" s="62" t="str">
        <f>VLOOKUP(C42,Лист1!$B$4:$B$55,1,0)</f>
        <v>Жемчужина Кузбасса</v>
      </c>
    </row>
    <row r="43" spans="2:14" ht="17.25" customHeight="1">
      <c r="B43" s="174" t="s">
        <v>313</v>
      </c>
      <c r="C43" s="165" t="s">
        <v>88</v>
      </c>
      <c r="D43" s="164">
        <v>7</v>
      </c>
      <c r="E43" s="164">
        <v>11</v>
      </c>
      <c r="F43" s="164">
        <v>4</v>
      </c>
      <c r="G43" s="164">
        <v>0</v>
      </c>
      <c r="H43" s="164">
        <v>7</v>
      </c>
      <c r="I43" s="164" t="s">
        <v>400</v>
      </c>
      <c r="J43" s="164" t="s">
        <v>218</v>
      </c>
      <c r="K43" s="164" t="s">
        <v>401</v>
      </c>
      <c r="L43" s="164" t="s">
        <v>108</v>
      </c>
      <c r="M43" s="164" t="s">
        <v>411</v>
      </c>
      <c r="N43" s="62" t="str">
        <f>VLOOKUP(C43,Лист1!$B$4:$B$55,1,0)</f>
        <v>PRED.SU</v>
      </c>
    </row>
    <row r="44" spans="2:14" ht="17.25" customHeight="1">
      <c r="B44" s="174" t="s">
        <v>314</v>
      </c>
      <c r="C44" s="165" t="s">
        <v>176</v>
      </c>
      <c r="D44" s="164">
        <v>5</v>
      </c>
      <c r="E44" s="164">
        <v>11</v>
      </c>
      <c r="F44" s="164">
        <v>3</v>
      </c>
      <c r="G44" s="164">
        <v>0</v>
      </c>
      <c r="H44" s="164">
        <v>8</v>
      </c>
      <c r="I44" s="164" t="s">
        <v>402</v>
      </c>
      <c r="J44" s="164" t="s">
        <v>403</v>
      </c>
      <c r="K44" s="164" t="s">
        <v>404</v>
      </c>
      <c r="L44" s="164" t="s">
        <v>108</v>
      </c>
      <c r="M44" s="164" t="s">
        <v>412</v>
      </c>
      <c r="N44" s="62" t="str">
        <f>VLOOKUP(C44,Лист1!$B$4:$B$55,1,0)</f>
        <v>Хищники</v>
      </c>
    </row>
    <row r="46" ht="15">
      <c r="B46" s="392" t="s">
        <v>406</v>
      </c>
    </row>
    <row r="47" ht="15">
      <c r="B47" s="392" t="s">
        <v>407</v>
      </c>
    </row>
    <row r="48" ht="15">
      <c r="B48" s="392" t="s">
        <v>408</v>
      </c>
    </row>
    <row r="50" ht="15">
      <c r="B50" s="64" t="s">
        <v>80</v>
      </c>
    </row>
    <row r="51" spans="2:14" ht="15">
      <c r="B51" s="411" t="s">
        <v>26</v>
      </c>
      <c r="C51" s="412" t="s">
        <v>27</v>
      </c>
      <c r="D51" s="411" t="s">
        <v>6</v>
      </c>
      <c r="E51" s="411" t="s">
        <v>1</v>
      </c>
      <c r="F51" s="411" t="s">
        <v>2</v>
      </c>
      <c r="G51" s="411" t="s">
        <v>3</v>
      </c>
      <c r="H51" s="411" t="s">
        <v>4</v>
      </c>
      <c r="I51" s="411" t="s">
        <v>54</v>
      </c>
      <c r="J51" s="411" t="s">
        <v>5</v>
      </c>
      <c r="K51" s="411" t="s">
        <v>55</v>
      </c>
      <c r="L51" s="411" t="s">
        <v>461</v>
      </c>
      <c r="M51" s="411" t="s">
        <v>462</v>
      </c>
      <c r="N51" s="416" t="s">
        <v>463</v>
      </c>
    </row>
    <row r="52" spans="2:14" ht="15">
      <c r="B52" s="411" t="s">
        <v>437</v>
      </c>
      <c r="C52" s="413" t="s">
        <v>168</v>
      </c>
      <c r="D52" s="411">
        <v>14</v>
      </c>
      <c r="E52" s="411">
        <v>11</v>
      </c>
      <c r="F52" s="411">
        <v>6</v>
      </c>
      <c r="G52" s="411">
        <v>2</v>
      </c>
      <c r="H52" s="411">
        <v>3</v>
      </c>
      <c r="I52" s="411" t="s">
        <v>438</v>
      </c>
      <c r="J52" s="411">
        <v>7</v>
      </c>
      <c r="K52" s="411">
        <v>447</v>
      </c>
      <c r="L52" s="411">
        <v>8</v>
      </c>
      <c r="M52" s="411">
        <v>11</v>
      </c>
      <c r="N52" s="416">
        <v>1</v>
      </c>
    </row>
    <row r="53" spans="2:14" ht="15">
      <c r="B53" s="411" t="s">
        <v>439</v>
      </c>
      <c r="C53" s="413" t="s">
        <v>83</v>
      </c>
      <c r="D53" s="411">
        <v>14</v>
      </c>
      <c r="E53" s="411">
        <v>11</v>
      </c>
      <c r="F53" s="411">
        <v>7</v>
      </c>
      <c r="G53" s="411">
        <v>0</v>
      </c>
      <c r="H53" s="411">
        <v>4</v>
      </c>
      <c r="I53" s="411" t="s">
        <v>440</v>
      </c>
      <c r="J53" s="411">
        <v>6</v>
      </c>
      <c r="K53" s="411">
        <v>444</v>
      </c>
      <c r="L53" s="411">
        <v>8</v>
      </c>
      <c r="M53" s="411">
        <v>12</v>
      </c>
      <c r="N53" s="416">
        <v>2</v>
      </c>
    </row>
    <row r="54" spans="2:14" ht="15">
      <c r="B54" s="411" t="s">
        <v>441</v>
      </c>
      <c r="C54" s="414" t="s">
        <v>14</v>
      </c>
      <c r="D54" s="411">
        <v>12</v>
      </c>
      <c r="E54" s="411">
        <v>11</v>
      </c>
      <c r="F54" s="411">
        <v>6</v>
      </c>
      <c r="G54" s="411">
        <v>0</v>
      </c>
      <c r="H54" s="411">
        <v>5</v>
      </c>
      <c r="I54" s="411" t="s">
        <v>442</v>
      </c>
      <c r="J54" s="411">
        <v>1</v>
      </c>
      <c r="K54" s="411">
        <v>478</v>
      </c>
      <c r="L54" s="411">
        <v>8</v>
      </c>
      <c r="M54" s="411">
        <v>8</v>
      </c>
      <c r="N54" s="416">
        <v>3</v>
      </c>
    </row>
    <row r="55" spans="2:14" ht="15">
      <c r="B55" s="411" t="s">
        <v>443</v>
      </c>
      <c r="C55" s="413" t="s">
        <v>62</v>
      </c>
      <c r="D55" s="411">
        <v>12</v>
      </c>
      <c r="E55" s="411">
        <v>11</v>
      </c>
      <c r="F55" s="411">
        <v>4</v>
      </c>
      <c r="G55" s="411">
        <v>4</v>
      </c>
      <c r="H55" s="411">
        <v>3</v>
      </c>
      <c r="I55" s="411" t="s">
        <v>444</v>
      </c>
      <c r="J55" s="411">
        <v>7</v>
      </c>
      <c r="K55" s="411">
        <v>470</v>
      </c>
      <c r="L55" s="411">
        <v>8</v>
      </c>
      <c r="M55" s="411">
        <v>8</v>
      </c>
      <c r="N55" s="416">
        <v>4</v>
      </c>
    </row>
    <row r="56" spans="2:14" ht="15">
      <c r="B56" s="411" t="s">
        <v>445</v>
      </c>
      <c r="C56" s="415" t="s">
        <v>405</v>
      </c>
      <c r="D56" s="411">
        <v>12</v>
      </c>
      <c r="E56" s="411">
        <v>11</v>
      </c>
      <c r="F56" s="411">
        <v>5</v>
      </c>
      <c r="G56" s="411">
        <v>2</v>
      </c>
      <c r="H56" s="411">
        <v>4</v>
      </c>
      <c r="I56" s="411" t="s">
        <v>446</v>
      </c>
      <c r="J56" s="411">
        <v>4</v>
      </c>
      <c r="K56" s="411">
        <v>462</v>
      </c>
      <c r="L56" s="411">
        <v>8</v>
      </c>
      <c r="M56" s="411">
        <v>7</v>
      </c>
      <c r="N56" s="416">
        <v>5</v>
      </c>
    </row>
    <row r="57" spans="2:14" ht="15">
      <c r="B57" s="411" t="s">
        <v>447</v>
      </c>
      <c r="C57" s="413" t="s">
        <v>63</v>
      </c>
      <c r="D57" s="411">
        <v>12</v>
      </c>
      <c r="E57" s="411">
        <v>11</v>
      </c>
      <c r="F57" s="411">
        <v>6</v>
      </c>
      <c r="G57" s="411">
        <v>0</v>
      </c>
      <c r="H57" s="411">
        <v>5</v>
      </c>
      <c r="I57" s="411" t="s">
        <v>448</v>
      </c>
      <c r="J57" s="411">
        <v>13</v>
      </c>
      <c r="K57" s="411">
        <v>453</v>
      </c>
      <c r="L57" s="411">
        <v>8</v>
      </c>
      <c r="M57" s="411">
        <v>10</v>
      </c>
      <c r="N57" s="416">
        <v>6</v>
      </c>
    </row>
    <row r="58" spans="2:14" ht="15">
      <c r="B58" s="411" t="s">
        <v>449</v>
      </c>
      <c r="C58" s="413" t="s">
        <v>123</v>
      </c>
      <c r="D58" s="411">
        <v>12</v>
      </c>
      <c r="E58" s="411">
        <v>11</v>
      </c>
      <c r="F58" s="411">
        <v>5</v>
      </c>
      <c r="G58" s="411">
        <v>2</v>
      </c>
      <c r="H58" s="411">
        <v>4</v>
      </c>
      <c r="I58" s="411" t="s">
        <v>450</v>
      </c>
      <c r="J58" s="411">
        <v>-1</v>
      </c>
      <c r="K58" s="411">
        <v>445</v>
      </c>
      <c r="L58" s="411">
        <v>8</v>
      </c>
      <c r="M58" s="411">
        <v>8</v>
      </c>
      <c r="N58" s="416">
        <v>7</v>
      </c>
    </row>
    <row r="59" spans="2:14" ht="15">
      <c r="B59" s="411" t="s">
        <v>451</v>
      </c>
      <c r="C59" s="413" t="s">
        <v>69</v>
      </c>
      <c r="D59" s="411">
        <v>12</v>
      </c>
      <c r="E59" s="411">
        <v>11</v>
      </c>
      <c r="F59" s="411">
        <v>5</v>
      </c>
      <c r="G59" s="411">
        <v>3</v>
      </c>
      <c r="H59" s="411">
        <v>3</v>
      </c>
      <c r="I59" s="411" t="s">
        <v>452</v>
      </c>
      <c r="J59" s="411">
        <v>4</v>
      </c>
      <c r="K59" s="411">
        <v>420</v>
      </c>
      <c r="L59" s="411">
        <v>8</v>
      </c>
      <c r="M59" s="411">
        <v>8</v>
      </c>
      <c r="N59" s="416">
        <v>8</v>
      </c>
    </row>
    <row r="60" spans="2:14" ht="15">
      <c r="B60" s="411" t="s">
        <v>453</v>
      </c>
      <c r="C60" s="413" t="s">
        <v>64</v>
      </c>
      <c r="D60" s="411">
        <v>10</v>
      </c>
      <c r="E60" s="411">
        <v>11</v>
      </c>
      <c r="F60" s="411">
        <v>4</v>
      </c>
      <c r="G60" s="411">
        <v>2</v>
      </c>
      <c r="H60" s="411">
        <v>5</v>
      </c>
      <c r="I60" s="411" t="s">
        <v>454</v>
      </c>
      <c r="J60" s="411">
        <v>-10</v>
      </c>
      <c r="K60" s="411">
        <v>457</v>
      </c>
      <c r="L60" s="411">
        <v>8</v>
      </c>
      <c r="M60" s="411">
        <v>8</v>
      </c>
      <c r="N60" s="416">
        <v>9</v>
      </c>
    </row>
    <row r="61" spans="2:14" ht="15">
      <c r="B61" s="411" t="s">
        <v>455</v>
      </c>
      <c r="C61" s="413" t="s">
        <v>126</v>
      </c>
      <c r="D61" s="411">
        <v>9</v>
      </c>
      <c r="E61" s="411">
        <v>11</v>
      </c>
      <c r="F61" s="411">
        <v>4</v>
      </c>
      <c r="G61" s="411">
        <v>1</v>
      </c>
      <c r="H61" s="411">
        <v>6</v>
      </c>
      <c r="I61" s="411" t="s">
        <v>456</v>
      </c>
      <c r="J61" s="411">
        <v>-7</v>
      </c>
      <c r="K61" s="411">
        <v>469</v>
      </c>
      <c r="L61" s="411">
        <v>8</v>
      </c>
      <c r="M61" s="411">
        <v>7</v>
      </c>
      <c r="N61" s="416">
        <v>10</v>
      </c>
    </row>
    <row r="62" spans="2:14" ht="15">
      <c r="B62" s="411" t="s">
        <v>457</v>
      </c>
      <c r="C62" s="413" t="s">
        <v>201</v>
      </c>
      <c r="D62" s="411">
        <v>7</v>
      </c>
      <c r="E62" s="411">
        <v>11</v>
      </c>
      <c r="F62" s="411">
        <v>3</v>
      </c>
      <c r="G62" s="411">
        <v>1</v>
      </c>
      <c r="H62" s="411">
        <v>7</v>
      </c>
      <c r="I62" s="411" t="s">
        <v>458</v>
      </c>
      <c r="J62" s="411">
        <v>-8</v>
      </c>
      <c r="K62" s="411">
        <v>448</v>
      </c>
      <c r="L62" s="411">
        <v>8</v>
      </c>
      <c r="M62" s="411">
        <v>6</v>
      </c>
      <c r="N62" s="416">
        <v>11</v>
      </c>
    </row>
    <row r="63" spans="2:14" ht="15">
      <c r="B63" s="411" t="s">
        <v>459</v>
      </c>
      <c r="C63" s="413" t="s">
        <v>178</v>
      </c>
      <c r="D63" s="411">
        <v>5</v>
      </c>
      <c r="E63" s="411">
        <v>11</v>
      </c>
      <c r="F63" s="411">
        <v>2</v>
      </c>
      <c r="G63" s="411">
        <v>1</v>
      </c>
      <c r="H63" s="411">
        <v>8</v>
      </c>
      <c r="I63" s="411" t="s">
        <v>460</v>
      </c>
      <c r="J63" s="411">
        <v>-16</v>
      </c>
      <c r="K63" s="411">
        <v>435</v>
      </c>
      <c r="L63" s="411">
        <v>8</v>
      </c>
      <c r="M63" s="411">
        <v>3</v>
      </c>
      <c r="N63" s="416">
        <v>12</v>
      </c>
    </row>
  </sheetData>
  <sheetProtection/>
  <autoFilter ref="B2:L44"/>
  <mergeCells count="3">
    <mergeCell ref="B3:L3"/>
    <mergeCell ref="B17:L17"/>
    <mergeCell ref="B31:L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57">
      <selection activeCell="Q74" sqref="Q74"/>
    </sheetView>
  </sheetViews>
  <sheetFormatPr defaultColWidth="9.140625" defaultRowHeight="15"/>
  <cols>
    <col min="1" max="1" width="9.140625" style="43" customWidth="1"/>
    <col min="2" max="2" width="5.00390625" style="43" customWidth="1"/>
    <col min="3" max="3" width="35.140625" style="43" customWidth="1"/>
    <col min="4" max="7" width="7.57421875" style="43" customWidth="1"/>
    <col min="8" max="9" width="7.57421875" style="182" customWidth="1"/>
    <col min="10" max="13" width="9.140625" style="43" customWidth="1"/>
    <col min="14" max="14" width="9.140625" style="31" customWidth="1"/>
    <col min="15" max="18" width="9.140625" style="1" customWidth="1"/>
    <col min="19" max="19" width="9.140625" style="45" customWidth="1"/>
    <col min="20" max="16384" width="9.140625" style="43" customWidth="1"/>
  </cols>
  <sheetData>
    <row r="1" ht="15" customHeight="1">
      <c r="C1" s="3" t="s">
        <v>542</v>
      </c>
    </row>
    <row r="2" ht="15.75" thickBot="1"/>
    <row r="3" spans="2:19" ht="15.75" customHeight="1" thickBot="1">
      <c r="B3" s="68" t="s">
        <v>0</v>
      </c>
      <c r="C3" s="69" t="s">
        <v>89</v>
      </c>
      <c r="D3" s="69">
        <v>1</v>
      </c>
      <c r="E3" s="69">
        <v>2</v>
      </c>
      <c r="F3" s="69">
        <v>3</v>
      </c>
      <c r="G3" s="69">
        <v>4</v>
      </c>
      <c r="H3" s="69">
        <v>5</v>
      </c>
      <c r="I3" s="69">
        <v>6</v>
      </c>
      <c r="J3" s="70" t="s">
        <v>1</v>
      </c>
      <c r="K3" s="69" t="s">
        <v>2</v>
      </c>
      <c r="L3" s="69" t="s">
        <v>3</v>
      </c>
      <c r="M3" s="69" t="s">
        <v>4</v>
      </c>
      <c r="N3" s="71" t="s">
        <v>97</v>
      </c>
      <c r="O3" s="69" t="s">
        <v>5</v>
      </c>
      <c r="P3" s="69" t="s">
        <v>104</v>
      </c>
      <c r="Q3" s="69" t="s">
        <v>98</v>
      </c>
      <c r="R3" s="72" t="s">
        <v>6</v>
      </c>
      <c r="S3" s="73" t="s">
        <v>99</v>
      </c>
    </row>
    <row r="4" spans="2:19" s="321" customFormat="1" ht="15" customHeight="1">
      <c r="B4" s="96">
        <v>1</v>
      </c>
      <c r="C4" s="97" t="s">
        <v>127</v>
      </c>
      <c r="D4" s="74"/>
      <c r="E4" s="98"/>
      <c r="F4" s="98"/>
      <c r="G4" s="98"/>
      <c r="H4" s="98"/>
      <c r="I4" s="98"/>
      <c r="J4" s="99">
        <v>5</v>
      </c>
      <c r="K4" s="100">
        <v>4</v>
      </c>
      <c r="L4" s="100">
        <v>1</v>
      </c>
      <c r="M4" s="100"/>
      <c r="N4" s="98"/>
      <c r="O4" s="322"/>
      <c r="P4" s="100"/>
      <c r="Q4" s="101"/>
      <c r="R4" s="102">
        <v>9</v>
      </c>
      <c r="S4" s="103">
        <v>18</v>
      </c>
    </row>
    <row r="5" spans="2:19" s="321" customFormat="1" ht="15" customHeight="1">
      <c r="B5" s="104">
        <v>2</v>
      </c>
      <c r="C5" s="192" t="s">
        <v>128</v>
      </c>
      <c r="D5" s="106"/>
      <c r="E5" s="74"/>
      <c r="F5" s="106"/>
      <c r="G5" s="106"/>
      <c r="H5" s="106"/>
      <c r="I5" s="106"/>
      <c r="J5" s="107">
        <v>5</v>
      </c>
      <c r="K5" s="108">
        <v>2</v>
      </c>
      <c r="L5" s="108">
        <v>2</v>
      </c>
      <c r="M5" s="108">
        <v>1</v>
      </c>
      <c r="N5" s="106"/>
      <c r="O5" s="323"/>
      <c r="P5" s="108"/>
      <c r="Q5" s="109"/>
      <c r="R5" s="110">
        <v>6</v>
      </c>
      <c r="S5" s="111">
        <v>18</v>
      </c>
    </row>
    <row r="6" spans="2:19" s="321" customFormat="1" ht="15" customHeight="1">
      <c r="B6" s="104">
        <v>3</v>
      </c>
      <c r="C6" s="105" t="s">
        <v>67</v>
      </c>
      <c r="D6" s="106"/>
      <c r="E6" s="106"/>
      <c r="F6" s="74"/>
      <c r="G6" s="106"/>
      <c r="H6" s="106"/>
      <c r="I6" s="106"/>
      <c r="J6" s="107">
        <v>5</v>
      </c>
      <c r="K6" s="108">
        <v>2</v>
      </c>
      <c r="L6" s="108">
        <v>1</v>
      </c>
      <c r="M6" s="108">
        <v>2</v>
      </c>
      <c r="N6" s="106"/>
      <c r="O6" s="323"/>
      <c r="P6" s="108"/>
      <c r="Q6" s="109"/>
      <c r="R6" s="110">
        <v>5</v>
      </c>
      <c r="S6" s="111">
        <v>18</v>
      </c>
    </row>
    <row r="7" spans="2:19" s="321" customFormat="1" ht="15" customHeight="1" thickBot="1">
      <c r="B7" s="75">
        <v>4</v>
      </c>
      <c r="C7" s="76" t="s">
        <v>168</v>
      </c>
      <c r="D7" s="77"/>
      <c r="E7" s="77"/>
      <c r="F7" s="77"/>
      <c r="G7" s="86"/>
      <c r="H7" s="77"/>
      <c r="I7" s="77"/>
      <c r="J7" s="78">
        <v>5</v>
      </c>
      <c r="K7" s="79">
        <v>1</v>
      </c>
      <c r="L7" s="79"/>
      <c r="M7" s="79">
        <v>3</v>
      </c>
      <c r="N7" s="80"/>
      <c r="O7" s="324"/>
      <c r="P7" s="79"/>
      <c r="Q7" s="81"/>
      <c r="R7" s="82">
        <v>4</v>
      </c>
      <c r="S7" s="112" t="s">
        <v>190</v>
      </c>
    </row>
    <row r="8" spans="2:19" s="321" customFormat="1" ht="15" customHeight="1" thickBot="1">
      <c r="B8" s="183">
        <v>5</v>
      </c>
      <c r="C8" s="184" t="s">
        <v>18</v>
      </c>
      <c r="D8" s="185"/>
      <c r="E8" s="185"/>
      <c r="F8" s="185"/>
      <c r="G8" s="185"/>
      <c r="H8" s="86"/>
      <c r="I8" s="77"/>
      <c r="J8" s="186">
        <v>5</v>
      </c>
      <c r="K8" s="187">
        <v>1</v>
      </c>
      <c r="L8" s="187">
        <v>2</v>
      </c>
      <c r="M8" s="187">
        <v>2</v>
      </c>
      <c r="N8" s="188"/>
      <c r="O8" s="325"/>
      <c r="P8" s="187"/>
      <c r="Q8" s="189"/>
      <c r="R8" s="191">
        <v>4</v>
      </c>
      <c r="S8" s="190" t="s">
        <v>528</v>
      </c>
    </row>
    <row r="9" spans="2:19" s="321" customFormat="1" ht="15" customHeight="1" thickBot="1">
      <c r="B9" s="83">
        <v>6</v>
      </c>
      <c r="C9" s="84" t="s">
        <v>88</v>
      </c>
      <c r="D9" s="85"/>
      <c r="E9" s="85"/>
      <c r="F9" s="85"/>
      <c r="G9" s="85"/>
      <c r="H9" s="85"/>
      <c r="I9" s="86"/>
      <c r="J9" s="87">
        <v>5</v>
      </c>
      <c r="K9" s="88">
        <v>1</v>
      </c>
      <c r="L9" s="88"/>
      <c r="M9" s="88">
        <v>4</v>
      </c>
      <c r="N9" s="89"/>
      <c r="O9" s="326"/>
      <c r="P9" s="88"/>
      <c r="Q9" s="90"/>
      <c r="R9" s="91">
        <v>2</v>
      </c>
      <c r="S9" s="113" t="s">
        <v>543</v>
      </c>
    </row>
    <row r="10" spans="2:21" ht="15" customHeight="1" thickBot="1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  <c r="O10" s="94"/>
      <c r="P10" s="94"/>
      <c r="Q10" s="94"/>
      <c r="R10" s="94"/>
      <c r="S10" s="95"/>
      <c r="U10" s="182"/>
    </row>
    <row r="11" spans="2:21" ht="15" customHeight="1" thickBot="1">
      <c r="B11" s="68" t="s">
        <v>0</v>
      </c>
      <c r="C11" s="69" t="s">
        <v>90</v>
      </c>
      <c r="D11" s="69">
        <v>1</v>
      </c>
      <c r="E11" s="69">
        <v>2</v>
      </c>
      <c r="F11" s="69">
        <v>3</v>
      </c>
      <c r="G11" s="69">
        <v>4</v>
      </c>
      <c r="H11" s="69">
        <v>5</v>
      </c>
      <c r="I11" s="69">
        <v>6</v>
      </c>
      <c r="J11" s="70" t="s">
        <v>1</v>
      </c>
      <c r="K11" s="69" t="s">
        <v>2</v>
      </c>
      <c r="L11" s="69" t="s">
        <v>3</v>
      </c>
      <c r="M11" s="69" t="s">
        <v>4</v>
      </c>
      <c r="N11" s="71" t="s">
        <v>97</v>
      </c>
      <c r="O11" s="69" t="s">
        <v>5</v>
      </c>
      <c r="P11" s="69" t="s">
        <v>104</v>
      </c>
      <c r="Q11" s="69" t="s">
        <v>98</v>
      </c>
      <c r="R11" s="72" t="s">
        <v>6</v>
      </c>
      <c r="S11" s="73" t="s">
        <v>99</v>
      </c>
      <c r="U11" s="182"/>
    </row>
    <row r="12" spans="2:19" s="321" customFormat="1" ht="15" customHeight="1">
      <c r="B12" s="96">
        <v>1</v>
      </c>
      <c r="C12" s="97" t="s">
        <v>126</v>
      </c>
      <c r="D12" s="74"/>
      <c r="E12" s="98"/>
      <c r="F12" s="98"/>
      <c r="G12" s="98"/>
      <c r="H12" s="98"/>
      <c r="I12" s="98"/>
      <c r="J12" s="99">
        <v>5</v>
      </c>
      <c r="K12" s="100">
        <v>4</v>
      </c>
      <c r="L12" s="100"/>
      <c r="M12" s="100">
        <v>1</v>
      </c>
      <c r="N12" s="98"/>
      <c r="O12" s="322"/>
      <c r="P12" s="100"/>
      <c r="Q12" s="101"/>
      <c r="R12" s="102">
        <v>8</v>
      </c>
      <c r="S12" s="103">
        <v>18</v>
      </c>
    </row>
    <row r="13" spans="2:19" s="321" customFormat="1" ht="15" customHeight="1">
      <c r="B13" s="104">
        <v>2</v>
      </c>
      <c r="C13" s="192" t="s">
        <v>201</v>
      </c>
      <c r="D13" s="106"/>
      <c r="E13" s="74"/>
      <c r="F13" s="106"/>
      <c r="G13" s="106"/>
      <c r="H13" s="106"/>
      <c r="I13" s="106"/>
      <c r="J13" s="107">
        <v>5</v>
      </c>
      <c r="K13" s="108">
        <v>3</v>
      </c>
      <c r="L13" s="108"/>
      <c r="M13" s="108">
        <v>2</v>
      </c>
      <c r="N13" s="106"/>
      <c r="O13" s="323"/>
      <c r="P13" s="108"/>
      <c r="Q13" s="109"/>
      <c r="R13" s="110">
        <v>6</v>
      </c>
      <c r="S13" s="111">
        <v>18</v>
      </c>
    </row>
    <row r="14" spans="2:19" s="321" customFormat="1" ht="15" customHeight="1">
      <c r="B14" s="104">
        <v>3</v>
      </c>
      <c r="C14" s="105" t="s">
        <v>7</v>
      </c>
      <c r="D14" s="106"/>
      <c r="E14" s="106"/>
      <c r="F14" s="74"/>
      <c r="G14" s="106"/>
      <c r="H14" s="106"/>
      <c r="I14" s="106"/>
      <c r="J14" s="107">
        <v>5</v>
      </c>
      <c r="K14" s="108">
        <v>3</v>
      </c>
      <c r="L14" s="108"/>
      <c r="M14" s="108">
        <v>2</v>
      </c>
      <c r="N14" s="106"/>
      <c r="O14" s="323"/>
      <c r="P14" s="108"/>
      <c r="Q14" s="109"/>
      <c r="R14" s="110">
        <v>6</v>
      </c>
      <c r="S14" s="111">
        <v>18</v>
      </c>
    </row>
    <row r="15" spans="2:19" s="321" customFormat="1" ht="15" customHeight="1" thickBot="1">
      <c r="B15" s="104">
        <v>4</v>
      </c>
      <c r="C15" s="105" t="s">
        <v>86</v>
      </c>
      <c r="D15" s="106"/>
      <c r="E15" s="106"/>
      <c r="F15" s="106"/>
      <c r="G15" s="86"/>
      <c r="H15" s="106"/>
      <c r="I15" s="106"/>
      <c r="J15" s="107">
        <v>5</v>
      </c>
      <c r="K15" s="108">
        <v>2</v>
      </c>
      <c r="L15" s="108">
        <v>1</v>
      </c>
      <c r="M15" s="108">
        <v>2</v>
      </c>
      <c r="N15" s="106"/>
      <c r="O15" s="323"/>
      <c r="P15" s="108"/>
      <c r="Q15" s="109"/>
      <c r="R15" s="110">
        <v>5</v>
      </c>
      <c r="S15" s="111">
        <v>18</v>
      </c>
    </row>
    <row r="16" spans="2:19" s="321" customFormat="1" ht="15" customHeight="1" thickBot="1">
      <c r="B16" s="183">
        <v>5</v>
      </c>
      <c r="C16" s="184" t="s">
        <v>11</v>
      </c>
      <c r="D16" s="185"/>
      <c r="E16" s="185"/>
      <c r="F16" s="185"/>
      <c r="G16" s="185"/>
      <c r="H16" s="86"/>
      <c r="I16" s="77"/>
      <c r="J16" s="186">
        <v>5</v>
      </c>
      <c r="K16" s="187">
        <v>2</v>
      </c>
      <c r="L16" s="187"/>
      <c r="M16" s="187">
        <v>3</v>
      </c>
      <c r="N16" s="188"/>
      <c r="O16" s="325"/>
      <c r="P16" s="187"/>
      <c r="Q16" s="189"/>
      <c r="R16" s="191">
        <v>4</v>
      </c>
      <c r="S16" s="190" t="s">
        <v>528</v>
      </c>
    </row>
    <row r="17" spans="2:19" s="321" customFormat="1" ht="15" customHeight="1" thickBot="1">
      <c r="B17" s="83">
        <v>6</v>
      </c>
      <c r="C17" s="84" t="s">
        <v>178</v>
      </c>
      <c r="D17" s="85"/>
      <c r="E17" s="85"/>
      <c r="F17" s="85"/>
      <c r="G17" s="85"/>
      <c r="H17" s="85"/>
      <c r="I17" s="86"/>
      <c r="J17" s="87">
        <v>5</v>
      </c>
      <c r="K17" s="88"/>
      <c r="L17" s="88">
        <v>1</v>
      </c>
      <c r="M17" s="88">
        <v>4</v>
      </c>
      <c r="N17" s="89"/>
      <c r="O17" s="326"/>
      <c r="P17" s="88"/>
      <c r="Q17" s="90"/>
      <c r="R17" s="91">
        <v>1</v>
      </c>
      <c r="S17" s="113" t="s">
        <v>543</v>
      </c>
    </row>
    <row r="18" spans="1:21" ht="15" customHeight="1" thickBot="1">
      <c r="A18" s="18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  <c r="O18" s="94"/>
      <c r="P18" s="94"/>
      <c r="Q18" s="94"/>
      <c r="R18" s="94"/>
      <c r="S18" s="95"/>
      <c r="U18" s="182"/>
    </row>
    <row r="19" spans="2:21" ht="15" customHeight="1" thickBot="1">
      <c r="B19" s="68" t="s">
        <v>0</v>
      </c>
      <c r="C19" s="69" t="s">
        <v>91</v>
      </c>
      <c r="D19" s="69">
        <v>1</v>
      </c>
      <c r="E19" s="69">
        <v>2</v>
      </c>
      <c r="F19" s="69">
        <v>3</v>
      </c>
      <c r="G19" s="69">
        <v>4</v>
      </c>
      <c r="H19" s="69">
        <v>5</v>
      </c>
      <c r="I19" s="69">
        <v>6</v>
      </c>
      <c r="J19" s="70" t="s">
        <v>1</v>
      </c>
      <c r="K19" s="69" t="s">
        <v>2</v>
      </c>
      <c r="L19" s="69" t="s">
        <v>3</v>
      </c>
      <c r="M19" s="69" t="s">
        <v>4</v>
      </c>
      <c r="N19" s="71" t="s">
        <v>97</v>
      </c>
      <c r="O19" s="69" t="s">
        <v>5</v>
      </c>
      <c r="P19" s="69" t="s">
        <v>104</v>
      </c>
      <c r="Q19" s="69" t="s">
        <v>98</v>
      </c>
      <c r="R19" s="72" t="s">
        <v>6</v>
      </c>
      <c r="S19" s="73" t="s">
        <v>99</v>
      </c>
      <c r="U19" s="182"/>
    </row>
    <row r="20" spans="2:19" s="321" customFormat="1" ht="15" customHeight="1">
      <c r="B20" s="96">
        <v>1</v>
      </c>
      <c r="C20" s="97" t="s">
        <v>124</v>
      </c>
      <c r="D20" s="74"/>
      <c r="E20" s="98"/>
      <c r="F20" s="98"/>
      <c r="G20" s="98"/>
      <c r="H20" s="98"/>
      <c r="I20" s="98"/>
      <c r="J20" s="99">
        <v>5</v>
      </c>
      <c r="K20" s="100">
        <v>3</v>
      </c>
      <c r="L20" s="100">
        <v>1</v>
      </c>
      <c r="M20" s="100">
        <v>1</v>
      </c>
      <c r="N20" s="98"/>
      <c r="O20" s="322"/>
      <c r="P20" s="100"/>
      <c r="Q20" s="101"/>
      <c r="R20" s="102">
        <v>7</v>
      </c>
      <c r="S20" s="103">
        <v>18</v>
      </c>
    </row>
    <row r="21" spans="2:19" s="321" customFormat="1" ht="15" customHeight="1">
      <c r="B21" s="104">
        <v>2</v>
      </c>
      <c r="C21" s="192" t="s">
        <v>174</v>
      </c>
      <c r="D21" s="106"/>
      <c r="E21" s="74"/>
      <c r="F21" s="106"/>
      <c r="G21" s="106"/>
      <c r="H21" s="106"/>
      <c r="I21" s="106"/>
      <c r="J21" s="107">
        <v>5</v>
      </c>
      <c r="K21" s="108">
        <v>3</v>
      </c>
      <c r="L21" s="108"/>
      <c r="M21" s="108">
        <v>2</v>
      </c>
      <c r="N21" s="106"/>
      <c r="O21" s="323"/>
      <c r="P21" s="108"/>
      <c r="Q21" s="109"/>
      <c r="R21" s="110">
        <v>6</v>
      </c>
      <c r="S21" s="111">
        <v>18</v>
      </c>
    </row>
    <row r="22" spans="2:19" s="321" customFormat="1" ht="15" customHeight="1">
      <c r="B22" s="104">
        <v>3</v>
      </c>
      <c r="C22" s="105" t="s">
        <v>125</v>
      </c>
      <c r="D22" s="106"/>
      <c r="E22" s="106"/>
      <c r="F22" s="74"/>
      <c r="G22" s="106"/>
      <c r="H22" s="106"/>
      <c r="I22" s="106"/>
      <c r="J22" s="107">
        <v>5</v>
      </c>
      <c r="K22" s="108">
        <v>3</v>
      </c>
      <c r="L22" s="108"/>
      <c r="M22" s="108">
        <v>2</v>
      </c>
      <c r="N22" s="106"/>
      <c r="O22" s="323"/>
      <c r="P22" s="108"/>
      <c r="Q22" s="109"/>
      <c r="R22" s="110">
        <v>6</v>
      </c>
      <c r="S22" s="111">
        <v>18</v>
      </c>
    </row>
    <row r="23" spans="2:19" s="321" customFormat="1" ht="15" customHeight="1" thickBot="1">
      <c r="B23" s="75">
        <v>4</v>
      </c>
      <c r="C23" s="76" t="s">
        <v>63</v>
      </c>
      <c r="D23" s="77"/>
      <c r="E23" s="77"/>
      <c r="F23" s="77"/>
      <c r="G23" s="86"/>
      <c r="H23" s="77"/>
      <c r="I23" s="77"/>
      <c r="J23" s="78">
        <v>5</v>
      </c>
      <c r="K23" s="79">
        <v>2</v>
      </c>
      <c r="L23" s="79"/>
      <c r="M23" s="79">
        <v>3</v>
      </c>
      <c r="N23" s="80"/>
      <c r="O23" s="324"/>
      <c r="P23" s="79"/>
      <c r="Q23" s="81"/>
      <c r="R23" s="82">
        <v>4</v>
      </c>
      <c r="S23" s="112" t="s">
        <v>190</v>
      </c>
    </row>
    <row r="24" spans="2:19" s="321" customFormat="1" ht="15" customHeight="1" thickBot="1">
      <c r="B24" s="183">
        <v>5</v>
      </c>
      <c r="C24" s="184" t="s">
        <v>60</v>
      </c>
      <c r="D24" s="185"/>
      <c r="E24" s="185"/>
      <c r="F24" s="185"/>
      <c r="G24" s="185"/>
      <c r="H24" s="86"/>
      <c r="I24" s="77"/>
      <c r="J24" s="186">
        <v>5</v>
      </c>
      <c r="K24" s="187">
        <v>1</v>
      </c>
      <c r="L24" s="187">
        <v>2</v>
      </c>
      <c r="M24" s="187">
        <v>2</v>
      </c>
      <c r="N24" s="188"/>
      <c r="O24" s="325"/>
      <c r="P24" s="187"/>
      <c r="Q24" s="189"/>
      <c r="R24" s="191">
        <v>4</v>
      </c>
      <c r="S24" s="190" t="s">
        <v>528</v>
      </c>
    </row>
    <row r="25" spans="2:19" s="321" customFormat="1" ht="15" customHeight="1" thickBot="1">
      <c r="B25" s="83">
        <v>6</v>
      </c>
      <c r="C25" s="84" t="s">
        <v>175</v>
      </c>
      <c r="D25" s="85"/>
      <c r="E25" s="85"/>
      <c r="F25" s="85"/>
      <c r="G25" s="85"/>
      <c r="H25" s="85"/>
      <c r="I25" s="86"/>
      <c r="J25" s="87">
        <v>5</v>
      </c>
      <c r="K25" s="88">
        <v>1</v>
      </c>
      <c r="L25" s="88">
        <v>1</v>
      </c>
      <c r="M25" s="88">
        <v>3</v>
      </c>
      <c r="N25" s="89"/>
      <c r="O25" s="326"/>
      <c r="P25" s="88"/>
      <c r="Q25" s="90"/>
      <c r="R25" s="91">
        <v>3</v>
      </c>
      <c r="S25" s="113" t="s">
        <v>543</v>
      </c>
    </row>
    <row r="26" spans="2:21" ht="15" customHeight="1" thickBot="1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  <c r="O26" s="94"/>
      <c r="P26" s="94"/>
      <c r="Q26" s="94"/>
      <c r="R26" s="94"/>
      <c r="S26" s="95"/>
      <c r="U26" s="182"/>
    </row>
    <row r="27" spans="2:21" ht="15" customHeight="1" thickBot="1">
      <c r="B27" s="68" t="s">
        <v>0</v>
      </c>
      <c r="C27" s="69" t="s">
        <v>92</v>
      </c>
      <c r="D27" s="69">
        <v>1</v>
      </c>
      <c r="E27" s="69">
        <v>2</v>
      </c>
      <c r="F27" s="69">
        <v>3</v>
      </c>
      <c r="G27" s="69">
        <v>4</v>
      </c>
      <c r="H27" s="69">
        <v>5</v>
      </c>
      <c r="I27" s="69">
        <v>6</v>
      </c>
      <c r="J27" s="70" t="s">
        <v>1</v>
      </c>
      <c r="K27" s="69" t="s">
        <v>2</v>
      </c>
      <c r="L27" s="69" t="s">
        <v>3</v>
      </c>
      <c r="M27" s="69" t="s">
        <v>4</v>
      </c>
      <c r="N27" s="71" t="s">
        <v>97</v>
      </c>
      <c r="O27" s="69" t="s">
        <v>5</v>
      </c>
      <c r="P27" s="69" t="s">
        <v>104</v>
      </c>
      <c r="Q27" s="69" t="s">
        <v>98</v>
      </c>
      <c r="R27" s="72" t="s">
        <v>6</v>
      </c>
      <c r="S27" s="73" t="s">
        <v>99</v>
      </c>
      <c r="U27" s="182"/>
    </row>
    <row r="28" spans="2:19" s="321" customFormat="1" ht="15" customHeight="1">
      <c r="B28" s="96">
        <v>1</v>
      </c>
      <c r="C28" s="97" t="s">
        <v>22</v>
      </c>
      <c r="D28" s="74"/>
      <c r="E28" s="98"/>
      <c r="F28" s="98"/>
      <c r="G28" s="98"/>
      <c r="H28" s="98"/>
      <c r="I28" s="98"/>
      <c r="J28" s="99">
        <v>5</v>
      </c>
      <c r="K28" s="100">
        <v>5</v>
      </c>
      <c r="L28" s="100"/>
      <c r="M28" s="100"/>
      <c r="N28" s="98"/>
      <c r="O28" s="322"/>
      <c r="P28" s="100"/>
      <c r="Q28" s="101"/>
      <c r="R28" s="102">
        <v>10</v>
      </c>
      <c r="S28" s="103">
        <v>18</v>
      </c>
    </row>
    <row r="29" spans="2:19" s="321" customFormat="1" ht="15" customHeight="1">
      <c r="B29" s="104">
        <v>2</v>
      </c>
      <c r="C29" s="192" t="s">
        <v>9</v>
      </c>
      <c r="D29" s="106"/>
      <c r="E29" s="74"/>
      <c r="F29" s="106"/>
      <c r="G29" s="106"/>
      <c r="H29" s="106"/>
      <c r="I29" s="106"/>
      <c r="J29" s="107">
        <v>5</v>
      </c>
      <c r="K29" s="108">
        <v>3</v>
      </c>
      <c r="L29" s="108"/>
      <c r="M29" s="108">
        <v>2</v>
      </c>
      <c r="N29" s="106"/>
      <c r="O29" s="323"/>
      <c r="P29" s="108"/>
      <c r="Q29" s="109"/>
      <c r="R29" s="110">
        <v>6</v>
      </c>
      <c r="S29" s="111">
        <v>18</v>
      </c>
    </row>
    <row r="30" spans="2:19" s="321" customFormat="1" ht="15" customHeight="1">
      <c r="B30" s="104">
        <v>3</v>
      </c>
      <c r="C30" s="105" t="s">
        <v>132</v>
      </c>
      <c r="D30" s="106"/>
      <c r="E30" s="106"/>
      <c r="F30" s="74"/>
      <c r="G30" s="106"/>
      <c r="H30" s="106"/>
      <c r="I30" s="106"/>
      <c r="J30" s="107">
        <v>5</v>
      </c>
      <c r="K30" s="108">
        <v>3</v>
      </c>
      <c r="L30" s="108"/>
      <c r="M30" s="108">
        <v>2</v>
      </c>
      <c r="N30" s="106"/>
      <c r="O30" s="323"/>
      <c r="P30" s="108"/>
      <c r="Q30" s="109"/>
      <c r="R30" s="110">
        <v>6</v>
      </c>
      <c r="S30" s="111">
        <v>18</v>
      </c>
    </row>
    <row r="31" spans="2:19" s="321" customFormat="1" ht="15" customHeight="1" thickBot="1">
      <c r="B31" s="104">
        <v>4</v>
      </c>
      <c r="C31" s="105" t="s">
        <v>129</v>
      </c>
      <c r="D31" s="106"/>
      <c r="E31" s="106"/>
      <c r="F31" s="106"/>
      <c r="G31" s="86"/>
      <c r="H31" s="106"/>
      <c r="I31" s="106"/>
      <c r="J31" s="107">
        <v>5</v>
      </c>
      <c r="K31" s="108">
        <v>2</v>
      </c>
      <c r="L31" s="108"/>
      <c r="M31" s="108">
        <v>3</v>
      </c>
      <c r="N31" s="106"/>
      <c r="O31" s="323"/>
      <c r="P31" s="108"/>
      <c r="Q31" s="109"/>
      <c r="R31" s="110">
        <v>4</v>
      </c>
      <c r="S31" s="111">
        <v>18</v>
      </c>
    </row>
    <row r="32" spans="2:19" s="321" customFormat="1" ht="15" customHeight="1" thickBot="1">
      <c r="B32" s="183">
        <v>5</v>
      </c>
      <c r="C32" s="184" t="s">
        <v>158</v>
      </c>
      <c r="D32" s="185"/>
      <c r="E32" s="185"/>
      <c r="F32" s="185"/>
      <c r="G32" s="185"/>
      <c r="H32" s="86"/>
      <c r="I32" s="77"/>
      <c r="J32" s="186">
        <v>5</v>
      </c>
      <c r="K32" s="187">
        <v>2</v>
      </c>
      <c r="L32" s="187"/>
      <c r="M32" s="187">
        <v>3</v>
      </c>
      <c r="N32" s="188"/>
      <c r="O32" s="325"/>
      <c r="P32" s="187"/>
      <c r="Q32" s="189"/>
      <c r="R32" s="191">
        <v>4</v>
      </c>
      <c r="S32" s="190" t="s">
        <v>528</v>
      </c>
    </row>
    <row r="33" spans="2:19" s="321" customFormat="1" ht="15" customHeight="1" thickBot="1">
      <c r="B33" s="83">
        <v>6</v>
      </c>
      <c r="C33" s="84" t="s">
        <v>8</v>
      </c>
      <c r="D33" s="85"/>
      <c r="E33" s="85"/>
      <c r="F33" s="85"/>
      <c r="G33" s="85"/>
      <c r="H33" s="85"/>
      <c r="I33" s="86"/>
      <c r="J33" s="87">
        <v>5</v>
      </c>
      <c r="K33" s="88"/>
      <c r="L33" s="88"/>
      <c r="M33" s="88">
        <v>5</v>
      </c>
      <c r="N33" s="89"/>
      <c r="O33" s="326"/>
      <c r="P33" s="88"/>
      <c r="Q33" s="90"/>
      <c r="R33" s="91"/>
      <c r="S33" s="113" t="s">
        <v>543</v>
      </c>
    </row>
    <row r="34" spans="2:21" ht="15" customHeight="1" thickBot="1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3"/>
      <c r="O34" s="94"/>
      <c r="P34" s="94"/>
      <c r="Q34" s="94"/>
      <c r="R34" s="94"/>
      <c r="S34" s="95"/>
      <c r="U34" s="182"/>
    </row>
    <row r="35" spans="2:21" ht="15" customHeight="1" thickBot="1">
      <c r="B35" s="68" t="s">
        <v>0</v>
      </c>
      <c r="C35" s="69" t="s">
        <v>93</v>
      </c>
      <c r="D35" s="69">
        <v>1</v>
      </c>
      <c r="E35" s="69">
        <v>2</v>
      </c>
      <c r="F35" s="69">
        <v>3</v>
      </c>
      <c r="G35" s="69">
        <v>4</v>
      </c>
      <c r="H35" s="69">
        <v>5</v>
      </c>
      <c r="I35" s="69">
        <v>6</v>
      </c>
      <c r="J35" s="70" t="s">
        <v>1</v>
      </c>
      <c r="K35" s="69" t="s">
        <v>2</v>
      </c>
      <c r="L35" s="69" t="s">
        <v>3</v>
      </c>
      <c r="M35" s="69" t="s">
        <v>4</v>
      </c>
      <c r="N35" s="71" t="s">
        <v>97</v>
      </c>
      <c r="O35" s="69" t="s">
        <v>5</v>
      </c>
      <c r="P35" s="69" t="s">
        <v>104</v>
      </c>
      <c r="Q35" s="69" t="s">
        <v>98</v>
      </c>
      <c r="R35" s="72" t="s">
        <v>6</v>
      </c>
      <c r="S35" s="73" t="s">
        <v>99</v>
      </c>
      <c r="U35" s="182"/>
    </row>
    <row r="36" spans="2:19" s="321" customFormat="1" ht="15" customHeight="1">
      <c r="B36" s="96">
        <v>1</v>
      </c>
      <c r="C36" s="97" t="s">
        <v>13</v>
      </c>
      <c r="D36" s="74"/>
      <c r="E36" s="98"/>
      <c r="F36" s="98"/>
      <c r="G36" s="98"/>
      <c r="H36" s="98"/>
      <c r="I36" s="98"/>
      <c r="J36" s="99">
        <v>5</v>
      </c>
      <c r="K36" s="100">
        <v>3</v>
      </c>
      <c r="L36" s="100">
        <v>1</v>
      </c>
      <c r="M36" s="100">
        <v>1</v>
      </c>
      <c r="N36" s="98"/>
      <c r="O36" s="322"/>
      <c r="P36" s="100"/>
      <c r="Q36" s="101"/>
      <c r="R36" s="102">
        <v>7</v>
      </c>
      <c r="S36" s="103">
        <v>18</v>
      </c>
    </row>
    <row r="37" spans="2:19" s="321" customFormat="1" ht="15" customHeight="1">
      <c r="B37" s="104">
        <v>2</v>
      </c>
      <c r="C37" s="192" t="s">
        <v>12</v>
      </c>
      <c r="D37" s="106"/>
      <c r="E37" s="74"/>
      <c r="F37" s="106"/>
      <c r="G37" s="106"/>
      <c r="H37" s="106"/>
      <c r="I37" s="106"/>
      <c r="J37" s="107">
        <v>5</v>
      </c>
      <c r="K37" s="108">
        <v>3</v>
      </c>
      <c r="L37" s="108"/>
      <c r="M37" s="108">
        <v>2</v>
      </c>
      <c r="N37" s="106"/>
      <c r="O37" s="323"/>
      <c r="P37" s="108"/>
      <c r="Q37" s="109"/>
      <c r="R37" s="110">
        <v>6</v>
      </c>
      <c r="S37" s="111">
        <v>18</v>
      </c>
    </row>
    <row r="38" spans="2:19" s="321" customFormat="1" ht="15" customHeight="1">
      <c r="B38" s="104">
        <v>3</v>
      </c>
      <c r="C38" s="105" t="s">
        <v>134</v>
      </c>
      <c r="D38" s="106"/>
      <c r="E38" s="106"/>
      <c r="F38" s="74"/>
      <c r="G38" s="106"/>
      <c r="H38" s="106"/>
      <c r="I38" s="106"/>
      <c r="J38" s="107">
        <v>5</v>
      </c>
      <c r="K38" s="108">
        <v>3</v>
      </c>
      <c r="L38" s="108"/>
      <c r="M38" s="108">
        <v>2</v>
      </c>
      <c r="N38" s="106"/>
      <c r="O38" s="323"/>
      <c r="P38" s="108"/>
      <c r="Q38" s="109"/>
      <c r="R38" s="110">
        <v>6</v>
      </c>
      <c r="S38" s="111">
        <v>18</v>
      </c>
    </row>
    <row r="39" spans="2:19" s="321" customFormat="1" ht="15" customHeight="1" thickBot="1">
      <c r="B39" s="104">
        <v>4</v>
      </c>
      <c r="C39" s="105" t="s">
        <v>200</v>
      </c>
      <c r="D39" s="106"/>
      <c r="E39" s="106"/>
      <c r="F39" s="106"/>
      <c r="G39" s="86"/>
      <c r="H39" s="106"/>
      <c r="I39" s="106"/>
      <c r="J39" s="107">
        <v>5</v>
      </c>
      <c r="K39" s="108">
        <v>2</v>
      </c>
      <c r="L39" s="108">
        <v>1</v>
      </c>
      <c r="M39" s="108">
        <v>2</v>
      </c>
      <c r="N39" s="106"/>
      <c r="O39" s="323"/>
      <c r="P39" s="108"/>
      <c r="Q39" s="109"/>
      <c r="R39" s="110">
        <v>5</v>
      </c>
      <c r="S39" s="111">
        <v>18</v>
      </c>
    </row>
    <row r="40" spans="2:19" s="321" customFormat="1" ht="15" customHeight="1" thickBot="1">
      <c r="B40" s="183">
        <v>5</v>
      </c>
      <c r="C40" s="76" t="s">
        <v>83</v>
      </c>
      <c r="D40" s="185"/>
      <c r="E40" s="185"/>
      <c r="F40" s="185"/>
      <c r="G40" s="185"/>
      <c r="H40" s="86"/>
      <c r="I40" s="77"/>
      <c r="J40" s="186">
        <v>5</v>
      </c>
      <c r="K40" s="187">
        <v>1</v>
      </c>
      <c r="L40" s="187">
        <v>2</v>
      </c>
      <c r="M40" s="187">
        <v>2</v>
      </c>
      <c r="N40" s="188"/>
      <c r="O40" s="325"/>
      <c r="P40" s="187"/>
      <c r="Q40" s="189"/>
      <c r="R40" s="191">
        <v>4</v>
      </c>
      <c r="S40" s="190" t="s">
        <v>528</v>
      </c>
    </row>
    <row r="41" spans="2:19" s="321" customFormat="1" ht="15" customHeight="1" thickBot="1">
      <c r="B41" s="83">
        <v>6</v>
      </c>
      <c r="C41" s="447" t="s">
        <v>14</v>
      </c>
      <c r="D41" s="85"/>
      <c r="E41" s="85"/>
      <c r="F41" s="85"/>
      <c r="G41" s="85"/>
      <c r="H41" s="85"/>
      <c r="I41" s="86"/>
      <c r="J41" s="87">
        <v>5</v>
      </c>
      <c r="K41" s="88">
        <v>1</v>
      </c>
      <c r="L41" s="88">
        <v>1</v>
      </c>
      <c r="M41" s="88">
        <v>4</v>
      </c>
      <c r="N41" s="89"/>
      <c r="O41" s="326"/>
      <c r="P41" s="88"/>
      <c r="Q41" s="90"/>
      <c r="R41" s="91">
        <v>2</v>
      </c>
      <c r="S41" s="113" t="s">
        <v>543</v>
      </c>
    </row>
    <row r="42" spans="2:19" s="182" customFormat="1" ht="15" customHeight="1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94"/>
      <c r="P42" s="94"/>
      <c r="Q42" s="94"/>
      <c r="R42" s="94"/>
      <c r="S42" s="95"/>
    </row>
    <row r="43" ht="20.25" thickBot="1">
      <c r="C43" s="123" t="s">
        <v>147</v>
      </c>
    </row>
    <row r="44" spans="2:19" ht="15.75" thickBot="1">
      <c r="B44" s="68" t="s">
        <v>191</v>
      </c>
      <c r="C44" s="69"/>
      <c r="D44" s="69">
        <v>1</v>
      </c>
      <c r="E44" s="69">
        <v>2</v>
      </c>
      <c r="F44" s="69">
        <v>3</v>
      </c>
      <c r="G44" s="69">
        <v>4</v>
      </c>
      <c r="H44" s="69">
        <v>5</v>
      </c>
      <c r="I44" s="69">
        <v>6</v>
      </c>
      <c r="J44" s="70" t="s">
        <v>1</v>
      </c>
      <c r="K44" s="69" t="s">
        <v>2</v>
      </c>
      <c r="L44" s="69" t="s">
        <v>3</v>
      </c>
      <c r="M44" s="69" t="s">
        <v>4</v>
      </c>
      <c r="N44" s="71" t="s">
        <v>97</v>
      </c>
      <c r="O44" s="69" t="s">
        <v>5</v>
      </c>
      <c r="P44" s="69" t="s">
        <v>104</v>
      </c>
      <c r="Q44" s="69" t="s">
        <v>98</v>
      </c>
      <c r="R44" s="72" t="s">
        <v>6</v>
      </c>
      <c r="S44" s="73" t="s">
        <v>99</v>
      </c>
    </row>
    <row r="45" spans="2:19" ht="15">
      <c r="B45" s="96">
        <v>1</v>
      </c>
      <c r="C45" s="105" t="s">
        <v>132</v>
      </c>
      <c r="D45" s="74"/>
      <c r="E45" s="98"/>
      <c r="F45" s="98"/>
      <c r="G45" s="98"/>
      <c r="H45" s="98"/>
      <c r="I45" s="98"/>
      <c r="J45" s="99">
        <v>5</v>
      </c>
      <c r="K45" s="100">
        <v>4</v>
      </c>
      <c r="L45" s="100"/>
      <c r="M45" s="100">
        <v>1</v>
      </c>
      <c r="N45" s="98" t="s">
        <v>580</v>
      </c>
      <c r="O45" s="322">
        <v>15</v>
      </c>
      <c r="P45" s="100"/>
      <c r="Q45" s="101">
        <v>120</v>
      </c>
      <c r="R45" s="102">
        <v>8</v>
      </c>
      <c r="S45" s="103">
        <v>6</v>
      </c>
    </row>
    <row r="46" spans="2:19" ht="15">
      <c r="B46" s="104">
        <v>2</v>
      </c>
      <c r="C46" s="192" t="s">
        <v>128</v>
      </c>
      <c r="D46" s="106"/>
      <c r="E46" s="74"/>
      <c r="F46" s="106"/>
      <c r="G46" s="106"/>
      <c r="H46" s="106"/>
      <c r="I46" s="106"/>
      <c r="J46" s="107">
        <v>5</v>
      </c>
      <c r="K46" s="108">
        <v>3</v>
      </c>
      <c r="L46" s="108"/>
      <c r="M46" s="108">
        <v>2</v>
      </c>
      <c r="N46" s="106" t="s">
        <v>596</v>
      </c>
      <c r="O46" s="323">
        <v>6</v>
      </c>
      <c r="P46" s="108"/>
      <c r="Q46" s="109">
        <v>123</v>
      </c>
      <c r="R46" s="110">
        <v>6</v>
      </c>
      <c r="S46" s="111">
        <v>6</v>
      </c>
    </row>
    <row r="47" spans="2:19" ht="15">
      <c r="B47" s="221">
        <v>3</v>
      </c>
      <c r="C47" s="222" t="s">
        <v>125</v>
      </c>
      <c r="D47" s="77"/>
      <c r="E47" s="77"/>
      <c r="F47" s="74"/>
      <c r="G47" s="77"/>
      <c r="H47" s="77"/>
      <c r="I47" s="77"/>
      <c r="J47" s="78">
        <v>5</v>
      </c>
      <c r="K47" s="223">
        <v>3</v>
      </c>
      <c r="L47" s="223"/>
      <c r="M47" s="223">
        <v>3</v>
      </c>
      <c r="N47" s="77" t="s">
        <v>581</v>
      </c>
      <c r="O47" s="454">
        <v>1</v>
      </c>
      <c r="P47" s="223"/>
      <c r="Q47" s="224">
        <v>116</v>
      </c>
      <c r="R47" s="82">
        <v>4</v>
      </c>
      <c r="S47" s="225" t="s">
        <v>192</v>
      </c>
    </row>
    <row r="48" spans="2:19" ht="15.75" thickBot="1">
      <c r="B48" s="75">
        <v>4</v>
      </c>
      <c r="C48" s="76" t="s">
        <v>86</v>
      </c>
      <c r="D48" s="77"/>
      <c r="E48" s="77"/>
      <c r="F48" s="77"/>
      <c r="G48" s="86"/>
      <c r="H48" s="77"/>
      <c r="I48" s="77"/>
      <c r="J48" s="78">
        <v>5</v>
      </c>
      <c r="K48" s="79">
        <v>2</v>
      </c>
      <c r="L48" s="79"/>
      <c r="M48" s="79">
        <v>3</v>
      </c>
      <c r="N48" s="80" t="s">
        <v>186</v>
      </c>
      <c r="O48" s="324">
        <v>-1</v>
      </c>
      <c r="P48" s="79"/>
      <c r="Q48" s="81">
        <v>115</v>
      </c>
      <c r="R48" s="82">
        <v>4</v>
      </c>
      <c r="S48" s="201" t="s">
        <v>193</v>
      </c>
    </row>
    <row r="49" spans="2:19" ht="15.75" thickBot="1">
      <c r="B49" s="183">
        <v>5</v>
      </c>
      <c r="C49" s="184" t="s">
        <v>12</v>
      </c>
      <c r="D49" s="185"/>
      <c r="E49" s="185"/>
      <c r="F49" s="185"/>
      <c r="G49" s="185"/>
      <c r="H49" s="86"/>
      <c r="I49" s="77"/>
      <c r="J49" s="186">
        <v>5</v>
      </c>
      <c r="K49" s="187">
        <v>1</v>
      </c>
      <c r="L49" s="187"/>
      <c r="M49" s="187">
        <v>3</v>
      </c>
      <c r="N49" s="188" t="s">
        <v>582</v>
      </c>
      <c r="O49" s="325">
        <v>-16</v>
      </c>
      <c r="P49" s="187"/>
      <c r="Q49" s="189">
        <v>97</v>
      </c>
      <c r="R49" s="191">
        <v>4</v>
      </c>
      <c r="S49" s="202" t="s">
        <v>149</v>
      </c>
    </row>
    <row r="50" spans="2:19" ht="15.75" thickBot="1">
      <c r="B50" s="83">
        <v>6</v>
      </c>
      <c r="C50" s="84" t="s">
        <v>201</v>
      </c>
      <c r="D50" s="85"/>
      <c r="E50" s="85"/>
      <c r="F50" s="85"/>
      <c r="G50" s="85"/>
      <c r="H50" s="85"/>
      <c r="I50" s="86"/>
      <c r="J50" s="87">
        <v>5</v>
      </c>
      <c r="K50" s="88">
        <v>1</v>
      </c>
      <c r="L50" s="88"/>
      <c r="M50" s="88">
        <v>3</v>
      </c>
      <c r="N50" s="89" t="s">
        <v>583</v>
      </c>
      <c r="O50" s="326">
        <v>-5</v>
      </c>
      <c r="P50" s="88"/>
      <c r="Q50" s="90">
        <v>85</v>
      </c>
      <c r="R50" s="91">
        <v>4</v>
      </c>
      <c r="S50" s="203" t="s">
        <v>194</v>
      </c>
    </row>
    <row r="51" spans="2:18" ht="19.5" thickBot="1">
      <c r="B51" s="220"/>
      <c r="C51"/>
      <c r="K51"/>
      <c r="L51"/>
      <c r="M51"/>
      <c r="N51"/>
      <c r="Q51"/>
      <c r="R51"/>
    </row>
    <row r="52" spans="2:19" ht="15.75" thickBot="1">
      <c r="B52" s="68" t="s">
        <v>191</v>
      </c>
      <c r="C52" s="69"/>
      <c r="D52" s="69"/>
      <c r="E52" s="69">
        <v>2</v>
      </c>
      <c r="F52" s="69">
        <v>3</v>
      </c>
      <c r="G52" s="69">
        <v>4</v>
      </c>
      <c r="H52" s="69">
        <v>5</v>
      </c>
      <c r="I52" s="69">
        <v>6</v>
      </c>
      <c r="J52" s="70" t="s">
        <v>1</v>
      </c>
      <c r="K52" s="69" t="s">
        <v>2</v>
      </c>
      <c r="L52" s="69" t="s">
        <v>3</v>
      </c>
      <c r="M52" s="69" t="s">
        <v>4</v>
      </c>
      <c r="N52" s="71" t="s">
        <v>97</v>
      </c>
      <c r="O52" s="69" t="s">
        <v>5</v>
      </c>
      <c r="P52" s="69" t="s">
        <v>104</v>
      </c>
      <c r="Q52" s="69" t="s">
        <v>98</v>
      </c>
      <c r="R52" s="72" t="s">
        <v>6</v>
      </c>
      <c r="S52" s="73" t="s">
        <v>99</v>
      </c>
    </row>
    <row r="53" spans="2:19" ht="15">
      <c r="B53" s="96">
        <v>1</v>
      </c>
      <c r="C53" s="97" t="s">
        <v>7</v>
      </c>
      <c r="D53" s="74"/>
      <c r="E53" s="98"/>
      <c r="F53" s="98"/>
      <c r="G53" s="98"/>
      <c r="H53" s="98"/>
      <c r="I53" s="98"/>
      <c r="J53" s="99">
        <v>5</v>
      </c>
      <c r="K53" s="100">
        <v>4</v>
      </c>
      <c r="L53" s="100"/>
      <c r="M53" s="100">
        <v>1</v>
      </c>
      <c r="N53" s="98" t="s">
        <v>584</v>
      </c>
      <c r="O53" s="322">
        <v>14</v>
      </c>
      <c r="P53" s="100"/>
      <c r="Q53" s="101">
        <v>115</v>
      </c>
      <c r="R53" s="102">
        <v>8</v>
      </c>
      <c r="S53" s="103">
        <v>6</v>
      </c>
    </row>
    <row r="54" spans="2:19" ht="15">
      <c r="B54" s="104">
        <v>2</v>
      </c>
      <c r="C54" s="192" t="s">
        <v>126</v>
      </c>
      <c r="D54" s="106"/>
      <c r="E54" s="74"/>
      <c r="F54" s="106"/>
      <c r="G54" s="106"/>
      <c r="H54" s="106"/>
      <c r="I54" s="106"/>
      <c r="J54" s="107">
        <v>5</v>
      </c>
      <c r="K54" s="108">
        <v>3</v>
      </c>
      <c r="L54" s="108">
        <v>1</v>
      </c>
      <c r="M54" s="108">
        <v>1</v>
      </c>
      <c r="N54" s="106" t="s">
        <v>585</v>
      </c>
      <c r="O54" s="323">
        <v>4</v>
      </c>
      <c r="P54" s="108"/>
      <c r="Q54" s="109">
        <v>113</v>
      </c>
      <c r="R54" s="110">
        <v>7</v>
      </c>
      <c r="S54" s="111">
        <v>6</v>
      </c>
    </row>
    <row r="55" spans="2:19" ht="15">
      <c r="B55" s="221">
        <v>3</v>
      </c>
      <c r="C55" s="222" t="s">
        <v>174</v>
      </c>
      <c r="D55" s="77"/>
      <c r="E55" s="77"/>
      <c r="F55" s="74"/>
      <c r="G55" s="77"/>
      <c r="H55" s="77"/>
      <c r="I55" s="77"/>
      <c r="J55" s="78">
        <v>5</v>
      </c>
      <c r="K55" s="223">
        <v>3</v>
      </c>
      <c r="L55" s="223"/>
      <c r="M55" s="223">
        <v>2</v>
      </c>
      <c r="N55" s="77" t="s">
        <v>586</v>
      </c>
      <c r="O55" s="454">
        <v>-4</v>
      </c>
      <c r="P55" s="223"/>
      <c r="Q55" s="224">
        <v>99</v>
      </c>
      <c r="R55" s="82">
        <v>6</v>
      </c>
      <c r="S55" s="225" t="s">
        <v>192</v>
      </c>
    </row>
    <row r="56" spans="2:19" ht="15.75" thickBot="1">
      <c r="B56" s="75">
        <v>4</v>
      </c>
      <c r="C56" s="226" t="s">
        <v>67</v>
      </c>
      <c r="D56" s="77"/>
      <c r="E56" s="77"/>
      <c r="F56" s="77"/>
      <c r="G56" s="86"/>
      <c r="H56" s="77"/>
      <c r="I56" s="77"/>
      <c r="J56" s="78">
        <v>5</v>
      </c>
      <c r="K56" s="79">
        <v>2</v>
      </c>
      <c r="L56" s="79">
        <v>1</v>
      </c>
      <c r="M56" s="79">
        <v>2</v>
      </c>
      <c r="N56" s="80" t="s">
        <v>587</v>
      </c>
      <c r="O56" s="324">
        <v>7</v>
      </c>
      <c r="P56" s="79"/>
      <c r="Q56" s="81">
        <v>119</v>
      </c>
      <c r="R56" s="82">
        <v>5</v>
      </c>
      <c r="S56" s="201" t="s">
        <v>193</v>
      </c>
    </row>
    <row r="57" spans="2:19" ht="15.75" thickBot="1">
      <c r="B57" s="183">
        <v>5</v>
      </c>
      <c r="C57" s="184" t="s">
        <v>200</v>
      </c>
      <c r="D57" s="185"/>
      <c r="E57" s="185"/>
      <c r="F57" s="185"/>
      <c r="G57" s="185"/>
      <c r="H57" s="86"/>
      <c r="I57" s="77"/>
      <c r="J57" s="186">
        <v>5</v>
      </c>
      <c r="K57" s="187">
        <v>1</v>
      </c>
      <c r="L57" s="187"/>
      <c r="M57" s="187">
        <v>4</v>
      </c>
      <c r="N57" s="188" t="s">
        <v>588</v>
      </c>
      <c r="O57" s="325">
        <v>-12</v>
      </c>
      <c r="P57" s="187"/>
      <c r="Q57" s="189">
        <v>99</v>
      </c>
      <c r="R57" s="191">
        <v>2</v>
      </c>
      <c r="S57" s="202" t="s">
        <v>149</v>
      </c>
    </row>
    <row r="58" spans="2:19" ht="15.75" thickBot="1">
      <c r="B58" s="83">
        <v>6</v>
      </c>
      <c r="C58" s="84" t="s">
        <v>13</v>
      </c>
      <c r="D58" s="85"/>
      <c r="E58" s="85"/>
      <c r="F58" s="85"/>
      <c r="G58" s="85"/>
      <c r="H58" s="85"/>
      <c r="I58" s="86"/>
      <c r="J58" s="87">
        <v>5</v>
      </c>
      <c r="K58" s="88">
        <v>1</v>
      </c>
      <c r="L58" s="88"/>
      <c r="M58" s="88">
        <v>4</v>
      </c>
      <c r="N58" s="89" t="s">
        <v>589</v>
      </c>
      <c r="O58" s="326">
        <v>-9</v>
      </c>
      <c r="P58" s="88"/>
      <c r="Q58" s="90">
        <v>92</v>
      </c>
      <c r="R58" s="91">
        <v>2</v>
      </c>
      <c r="S58" s="203" t="s">
        <v>194</v>
      </c>
    </row>
    <row r="59" spans="2:18" ht="19.5" thickBot="1">
      <c r="B59" s="220"/>
      <c r="C59"/>
      <c r="J59" s="453">
        <v>5</v>
      </c>
      <c r="K59"/>
      <c r="L59"/>
      <c r="M59"/>
      <c r="N59"/>
      <c r="Q59"/>
      <c r="R59"/>
    </row>
    <row r="60" spans="2:19" ht="15.75" thickBot="1">
      <c r="B60" s="68" t="s">
        <v>191</v>
      </c>
      <c r="C60" s="69"/>
      <c r="D60" s="69"/>
      <c r="E60" s="69">
        <v>2</v>
      </c>
      <c r="F60" s="69">
        <v>3</v>
      </c>
      <c r="G60" s="69">
        <v>4</v>
      </c>
      <c r="H60" s="69">
        <v>5</v>
      </c>
      <c r="I60" s="69">
        <v>6</v>
      </c>
      <c r="J60" s="70" t="s">
        <v>1</v>
      </c>
      <c r="K60" s="69" t="s">
        <v>2</v>
      </c>
      <c r="L60" s="69" t="s">
        <v>3</v>
      </c>
      <c r="M60" s="69" t="s">
        <v>4</v>
      </c>
      <c r="N60" s="71" t="s">
        <v>97</v>
      </c>
      <c r="O60" s="69" t="s">
        <v>5</v>
      </c>
      <c r="P60" s="69" t="s">
        <v>104</v>
      </c>
      <c r="Q60" s="69" t="s">
        <v>98</v>
      </c>
      <c r="R60" s="72" t="s">
        <v>6</v>
      </c>
      <c r="S60" s="73" t="s">
        <v>99</v>
      </c>
    </row>
    <row r="61" spans="2:19" ht="15">
      <c r="B61" s="96">
        <v>1</v>
      </c>
      <c r="C61" s="97" t="s">
        <v>22</v>
      </c>
      <c r="D61" s="74"/>
      <c r="E61" s="98"/>
      <c r="F61" s="98"/>
      <c r="G61" s="98"/>
      <c r="H61" s="98"/>
      <c r="I61" s="98"/>
      <c r="J61" s="99">
        <v>5</v>
      </c>
      <c r="K61" s="100">
        <v>4</v>
      </c>
      <c r="L61" s="100"/>
      <c r="M61" s="100">
        <v>1</v>
      </c>
      <c r="N61" s="98" t="s">
        <v>590</v>
      </c>
      <c r="O61" s="322">
        <v>14</v>
      </c>
      <c r="P61" s="100"/>
      <c r="Q61" s="101">
        <v>121</v>
      </c>
      <c r="R61" s="102">
        <v>8</v>
      </c>
      <c r="S61" s="103">
        <v>6</v>
      </c>
    </row>
    <row r="62" spans="2:19" ht="15">
      <c r="B62" s="104">
        <v>2</v>
      </c>
      <c r="C62" s="192" t="s">
        <v>124</v>
      </c>
      <c r="D62" s="106"/>
      <c r="E62" s="74"/>
      <c r="F62" s="106"/>
      <c r="G62" s="106"/>
      <c r="H62" s="106"/>
      <c r="I62" s="106"/>
      <c r="J62" s="107">
        <v>5</v>
      </c>
      <c r="K62" s="108">
        <v>3</v>
      </c>
      <c r="L62" s="108"/>
      <c r="M62" s="108">
        <v>2</v>
      </c>
      <c r="N62" s="106" t="s">
        <v>591</v>
      </c>
      <c r="O62" s="323">
        <v>-3</v>
      </c>
      <c r="P62" s="108"/>
      <c r="Q62" s="109">
        <v>104</v>
      </c>
      <c r="R62" s="110">
        <v>6</v>
      </c>
      <c r="S62" s="111">
        <v>6</v>
      </c>
    </row>
    <row r="63" spans="2:19" ht="15">
      <c r="B63" s="221">
        <v>3</v>
      </c>
      <c r="C63" s="222" t="s">
        <v>134</v>
      </c>
      <c r="D63" s="77"/>
      <c r="E63" s="77"/>
      <c r="F63" s="74"/>
      <c r="G63" s="77"/>
      <c r="H63" s="77"/>
      <c r="I63" s="77"/>
      <c r="J63" s="78">
        <v>5</v>
      </c>
      <c r="K63" s="223">
        <v>2</v>
      </c>
      <c r="L63" s="223"/>
      <c r="M63" s="223">
        <v>3</v>
      </c>
      <c r="N63" s="77" t="s">
        <v>592</v>
      </c>
      <c r="O63" s="454">
        <v>7</v>
      </c>
      <c r="P63" s="223"/>
      <c r="Q63" s="224">
        <v>114</v>
      </c>
      <c r="R63" s="82">
        <v>4</v>
      </c>
      <c r="S63" s="225" t="s">
        <v>192</v>
      </c>
    </row>
    <row r="64" spans="2:19" ht="15.75" thickBot="1">
      <c r="B64" s="75">
        <v>4</v>
      </c>
      <c r="C64" s="76" t="s">
        <v>129</v>
      </c>
      <c r="D64" s="77"/>
      <c r="E64" s="77"/>
      <c r="F64" s="77"/>
      <c r="G64" s="86"/>
      <c r="H64" s="77"/>
      <c r="I64" s="77"/>
      <c r="J64" s="78">
        <v>5</v>
      </c>
      <c r="K64" s="79">
        <v>2</v>
      </c>
      <c r="L64" s="79"/>
      <c r="M64" s="79">
        <v>3</v>
      </c>
      <c r="N64" s="80" t="s">
        <v>593</v>
      </c>
      <c r="O64" s="324">
        <v>2</v>
      </c>
      <c r="P64" s="79"/>
      <c r="Q64" s="81">
        <v>109</v>
      </c>
      <c r="R64" s="82">
        <v>4</v>
      </c>
      <c r="S64" s="201" t="s">
        <v>193</v>
      </c>
    </row>
    <row r="65" spans="2:19" ht="15.75" thickBot="1">
      <c r="B65" s="183">
        <v>5</v>
      </c>
      <c r="C65" s="76" t="s">
        <v>9</v>
      </c>
      <c r="D65" s="185"/>
      <c r="E65" s="185"/>
      <c r="F65" s="185"/>
      <c r="G65" s="185"/>
      <c r="H65" s="86"/>
      <c r="I65" s="77"/>
      <c r="J65" s="186">
        <v>5</v>
      </c>
      <c r="K65" s="187">
        <v>2</v>
      </c>
      <c r="L65" s="187"/>
      <c r="M65" s="187">
        <v>3</v>
      </c>
      <c r="N65" s="188" t="s">
        <v>594</v>
      </c>
      <c r="O65" s="325">
        <v>-10</v>
      </c>
      <c r="P65" s="187"/>
      <c r="Q65" s="189">
        <v>102</v>
      </c>
      <c r="R65" s="191">
        <v>4</v>
      </c>
      <c r="S65" s="202" t="s">
        <v>149</v>
      </c>
    </row>
    <row r="66" spans="2:19" ht="15.75" thickBot="1">
      <c r="B66" s="83">
        <v>6</v>
      </c>
      <c r="C66" s="452" t="s">
        <v>127</v>
      </c>
      <c r="D66" s="85"/>
      <c r="E66" s="85"/>
      <c r="F66" s="85"/>
      <c r="G66" s="85"/>
      <c r="H66" s="85"/>
      <c r="I66" s="86"/>
      <c r="J66" s="87">
        <v>5</v>
      </c>
      <c r="K66" s="88">
        <v>2</v>
      </c>
      <c r="L66" s="88"/>
      <c r="M66" s="88">
        <v>3</v>
      </c>
      <c r="N66" s="89" t="s">
        <v>595</v>
      </c>
      <c r="O66" s="326">
        <v>-10</v>
      </c>
      <c r="P66" s="88"/>
      <c r="Q66" s="90">
        <v>92</v>
      </c>
      <c r="R66" s="91">
        <v>4</v>
      </c>
      <c r="S66" s="203" t="s">
        <v>194</v>
      </c>
    </row>
    <row r="68" spans="2:13" ht="20.25" thickBot="1">
      <c r="B68" s="219"/>
      <c r="C68" s="123" t="s">
        <v>80</v>
      </c>
      <c r="D68" s="219"/>
      <c r="E68" s="219"/>
      <c r="F68" s="219"/>
      <c r="G68" s="219"/>
      <c r="H68" s="219"/>
      <c r="I68" s="219"/>
      <c r="J68" s="219"/>
      <c r="K68" s="219"/>
      <c r="L68" s="219"/>
      <c r="M68" s="219"/>
    </row>
    <row r="69" spans="2:19" ht="15.75" thickBot="1">
      <c r="B69" s="68" t="s">
        <v>191</v>
      </c>
      <c r="C69" s="227" t="s">
        <v>195</v>
      </c>
      <c r="D69" s="69">
        <v>1</v>
      </c>
      <c r="E69" s="69">
        <v>2</v>
      </c>
      <c r="F69" s="69">
        <v>3</v>
      </c>
      <c r="G69" s="69">
        <v>4</v>
      </c>
      <c r="H69" s="69">
        <v>5</v>
      </c>
      <c r="I69" s="69">
        <v>6</v>
      </c>
      <c r="J69" s="70" t="s">
        <v>1</v>
      </c>
      <c r="K69" s="69" t="s">
        <v>2</v>
      </c>
      <c r="L69" s="69" t="s">
        <v>3</v>
      </c>
      <c r="M69" s="69" t="s">
        <v>4</v>
      </c>
      <c r="N69" s="71" t="s">
        <v>97</v>
      </c>
      <c r="O69" s="69" t="s">
        <v>5</v>
      </c>
      <c r="P69" s="69" t="s">
        <v>104</v>
      </c>
      <c r="Q69" s="69" t="s">
        <v>98</v>
      </c>
      <c r="R69" s="72" t="s">
        <v>6</v>
      </c>
      <c r="S69" s="73" t="s">
        <v>99</v>
      </c>
    </row>
    <row r="70" spans="2:19" ht="15">
      <c r="B70" s="273">
        <v>1</v>
      </c>
      <c r="C70" s="284" t="s">
        <v>22</v>
      </c>
      <c r="D70" s="74"/>
      <c r="E70" s="274"/>
      <c r="F70" s="274"/>
      <c r="G70" s="274"/>
      <c r="H70" s="274"/>
      <c r="I70" s="274"/>
      <c r="J70" s="275">
        <v>5</v>
      </c>
      <c r="K70" s="276">
        <v>4</v>
      </c>
      <c r="L70" s="276"/>
      <c r="M70" s="276">
        <v>1</v>
      </c>
      <c r="N70" s="274" t="s">
        <v>592</v>
      </c>
      <c r="O70" s="350">
        <v>7</v>
      </c>
      <c r="P70" s="276"/>
      <c r="Q70" s="277">
        <v>169</v>
      </c>
      <c r="R70" s="278">
        <v>8</v>
      </c>
      <c r="S70" s="285">
        <v>1</v>
      </c>
    </row>
    <row r="71" spans="2:19" ht="15">
      <c r="B71" s="104">
        <v>2</v>
      </c>
      <c r="C71" s="105" t="s">
        <v>7</v>
      </c>
      <c r="D71" s="106"/>
      <c r="E71" s="74"/>
      <c r="F71" s="106"/>
      <c r="G71" s="106"/>
      <c r="H71" s="106"/>
      <c r="I71" s="106"/>
      <c r="J71" s="107">
        <v>5</v>
      </c>
      <c r="K71" s="108">
        <v>3</v>
      </c>
      <c r="L71" s="108">
        <v>1</v>
      </c>
      <c r="M71" s="108">
        <v>1</v>
      </c>
      <c r="N71" s="106" t="s">
        <v>597</v>
      </c>
      <c r="O71" s="323">
        <v>19</v>
      </c>
      <c r="P71" s="108"/>
      <c r="Q71" s="109">
        <v>194</v>
      </c>
      <c r="R71" s="110">
        <v>7</v>
      </c>
      <c r="S71" s="111">
        <v>2</v>
      </c>
    </row>
    <row r="72" spans="2:19" ht="15">
      <c r="B72" s="104">
        <v>3</v>
      </c>
      <c r="C72" s="192" t="s">
        <v>132</v>
      </c>
      <c r="D72" s="106"/>
      <c r="E72" s="106"/>
      <c r="F72" s="74"/>
      <c r="G72" s="106"/>
      <c r="H72" s="106"/>
      <c r="I72" s="106"/>
      <c r="J72" s="107">
        <v>5</v>
      </c>
      <c r="K72" s="108">
        <v>2</v>
      </c>
      <c r="L72" s="108">
        <v>2</v>
      </c>
      <c r="M72" s="108">
        <v>1</v>
      </c>
      <c r="N72" s="106" t="s">
        <v>334</v>
      </c>
      <c r="O72" s="323">
        <v>2</v>
      </c>
      <c r="P72" s="108"/>
      <c r="Q72" s="109">
        <v>172</v>
      </c>
      <c r="R72" s="110">
        <v>6</v>
      </c>
      <c r="S72" s="111">
        <v>3</v>
      </c>
    </row>
    <row r="73" spans="2:19" ht="15.75" thickBot="1">
      <c r="B73" s="75">
        <v>4</v>
      </c>
      <c r="C73" s="222" t="s">
        <v>126</v>
      </c>
      <c r="D73" s="77"/>
      <c r="E73" s="77"/>
      <c r="F73" s="77"/>
      <c r="G73" s="86"/>
      <c r="H73" s="77"/>
      <c r="I73" s="77"/>
      <c r="J73" s="78">
        <v>5</v>
      </c>
      <c r="K73" s="79">
        <v>2</v>
      </c>
      <c r="L73" s="79">
        <v>2</v>
      </c>
      <c r="M73" s="79">
        <v>1</v>
      </c>
      <c r="N73" s="80" t="s">
        <v>322</v>
      </c>
      <c r="O73" s="324">
        <v>1</v>
      </c>
      <c r="P73" s="79"/>
      <c r="Q73" s="81">
        <v>156</v>
      </c>
      <c r="R73" s="82">
        <v>6</v>
      </c>
      <c r="S73" s="286">
        <v>4</v>
      </c>
    </row>
    <row r="74" spans="2:19" ht="15.75" thickBot="1">
      <c r="B74" s="183">
        <v>5</v>
      </c>
      <c r="C74" s="228" t="s">
        <v>128</v>
      </c>
      <c r="D74" s="185"/>
      <c r="E74" s="185"/>
      <c r="F74" s="185"/>
      <c r="G74" s="185"/>
      <c r="H74" s="86"/>
      <c r="I74" s="77"/>
      <c r="J74" s="186">
        <v>5</v>
      </c>
      <c r="K74" s="187">
        <v>1</v>
      </c>
      <c r="L74" s="187"/>
      <c r="M74" s="187">
        <v>4</v>
      </c>
      <c r="N74" s="188" t="s">
        <v>598</v>
      </c>
      <c r="O74" s="325">
        <v>-11</v>
      </c>
      <c r="P74" s="187"/>
      <c r="Q74" s="189">
        <v>155</v>
      </c>
      <c r="R74" s="191">
        <v>2</v>
      </c>
      <c r="S74" s="286">
        <v>5</v>
      </c>
    </row>
    <row r="75" spans="2:19" ht="15.75" thickBot="1">
      <c r="B75" s="83">
        <v>6</v>
      </c>
      <c r="C75" s="222" t="s">
        <v>124</v>
      </c>
      <c r="D75" s="85"/>
      <c r="E75" s="85"/>
      <c r="F75" s="85"/>
      <c r="G75" s="85"/>
      <c r="H75" s="85"/>
      <c r="I75" s="86"/>
      <c r="J75" s="87">
        <v>5</v>
      </c>
      <c r="K75" s="88"/>
      <c r="L75" s="88">
        <v>1</v>
      </c>
      <c r="M75" s="88">
        <v>4</v>
      </c>
      <c r="N75" s="89" t="s">
        <v>599</v>
      </c>
      <c r="O75" s="326">
        <v>-18</v>
      </c>
      <c r="P75" s="88"/>
      <c r="Q75" s="90">
        <v>151</v>
      </c>
      <c r="R75" s="91">
        <v>1</v>
      </c>
      <c r="S75" s="286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6"/>
  <sheetViews>
    <sheetView zoomScale="85" zoomScaleNormal="85" zoomScalePageLayoutView="0" workbookViewId="0" topLeftCell="A34">
      <pane xSplit="3" ySplit="3" topLeftCell="D55" activePane="bottomRight" state="frozen"/>
      <selection pane="topLeft" activeCell="A34" sqref="A34"/>
      <selection pane="topRight" activeCell="D34" sqref="D34"/>
      <selection pane="bottomLeft" activeCell="A37" sqref="A37"/>
      <selection pane="bottomRight" activeCell="X57" sqref="X57"/>
    </sheetView>
  </sheetViews>
  <sheetFormatPr defaultColWidth="9.140625" defaultRowHeight="15"/>
  <cols>
    <col min="1" max="1" width="2.57421875" style="48" customWidth="1"/>
    <col min="2" max="2" width="6.140625" style="46" customWidth="1"/>
    <col min="3" max="3" width="32.8515625" style="46" customWidth="1"/>
    <col min="4" max="11" width="10.28125" style="46" customWidth="1"/>
    <col min="12" max="12" width="10.28125" style="51" customWidth="1"/>
    <col min="13" max="13" width="10.28125" style="46" customWidth="1"/>
    <col min="14" max="14" width="9.7109375" style="46" customWidth="1"/>
    <col min="15" max="16" width="10.28125" style="46" customWidth="1"/>
    <col min="17" max="17" width="10.28125" style="51" customWidth="1"/>
    <col min="18" max="27" width="10.28125" style="46" customWidth="1"/>
    <col min="28" max="31" width="9.140625" style="46" customWidth="1"/>
    <col min="32" max="16384" width="9.140625" style="46" customWidth="1"/>
  </cols>
  <sheetData>
    <row r="1" ht="15" customHeight="1">
      <c r="C1" s="3" t="s">
        <v>489</v>
      </c>
    </row>
    <row r="2" spans="3:9" ht="15" customHeight="1">
      <c r="C2" s="2" t="s">
        <v>23</v>
      </c>
      <c r="D2" s="1" t="s">
        <v>24</v>
      </c>
      <c r="E2" s="472"/>
      <c r="F2" s="473"/>
      <c r="G2" s="1" t="s">
        <v>25</v>
      </c>
      <c r="H2" s="472"/>
      <c r="I2" s="473"/>
    </row>
    <row r="3" ht="21.75" thickBot="1">
      <c r="C3" s="150" t="s">
        <v>164</v>
      </c>
    </row>
    <row r="4" spans="1:21" s="166" customFormat="1" ht="15.75" thickBot="1">
      <c r="A4" s="48"/>
      <c r="B4" s="37" t="s">
        <v>0</v>
      </c>
      <c r="C4" s="245" t="s">
        <v>490</v>
      </c>
      <c r="D4" s="35">
        <v>1</v>
      </c>
      <c r="E4" s="36">
        <v>2</v>
      </c>
      <c r="F4" s="56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56" t="s">
        <v>1</v>
      </c>
      <c r="M4" s="36" t="s">
        <v>2</v>
      </c>
      <c r="N4" s="36" t="s">
        <v>3</v>
      </c>
      <c r="O4" s="36" t="s">
        <v>4</v>
      </c>
      <c r="P4" s="57" t="s">
        <v>97</v>
      </c>
      <c r="Q4" s="36" t="s">
        <v>5</v>
      </c>
      <c r="R4" s="36" t="s">
        <v>104</v>
      </c>
      <c r="S4" s="36" t="s">
        <v>98</v>
      </c>
      <c r="T4" s="53" t="s">
        <v>6</v>
      </c>
      <c r="U4" s="58" t="s">
        <v>99</v>
      </c>
    </row>
    <row r="5" spans="1:21" s="166" customFormat="1" ht="15">
      <c r="A5" s="48"/>
      <c r="B5" s="291">
        <v>1</v>
      </c>
      <c r="C5" s="303" t="s">
        <v>11</v>
      </c>
      <c r="D5" s="117"/>
      <c r="E5" s="292"/>
      <c r="F5" s="292"/>
      <c r="G5" s="292"/>
      <c r="H5" s="292"/>
      <c r="I5" s="292"/>
      <c r="J5" s="292"/>
      <c r="K5" s="292"/>
      <c r="L5" s="293">
        <v>6</v>
      </c>
      <c r="M5" s="295">
        <v>5</v>
      </c>
      <c r="N5" s="294"/>
      <c r="O5" s="295">
        <v>1</v>
      </c>
      <c r="P5" s="294" t="s">
        <v>491</v>
      </c>
      <c r="Q5" s="295"/>
      <c r="R5" s="294"/>
      <c r="S5" s="439">
        <v>141</v>
      </c>
      <c r="T5" s="292">
        <f>M5*2+N5-R5</f>
        <v>10</v>
      </c>
      <c r="U5" s="296">
        <v>26</v>
      </c>
    </row>
    <row r="6" spans="1:21" s="166" customFormat="1" ht="15">
      <c r="A6" s="48"/>
      <c r="B6" s="291">
        <v>2</v>
      </c>
      <c r="C6" s="303" t="s">
        <v>168</v>
      </c>
      <c r="D6" s="292"/>
      <c r="E6" s="117"/>
      <c r="F6" s="292"/>
      <c r="G6" s="292"/>
      <c r="H6" s="292"/>
      <c r="I6" s="292"/>
      <c r="J6" s="292"/>
      <c r="K6" s="292"/>
      <c r="L6" s="297">
        <v>6</v>
      </c>
      <c r="M6" s="298">
        <v>3</v>
      </c>
      <c r="N6" s="298">
        <v>1</v>
      </c>
      <c r="O6" s="298">
        <v>2</v>
      </c>
      <c r="P6" s="292" t="s">
        <v>492</v>
      </c>
      <c r="Q6" s="298"/>
      <c r="R6" s="292"/>
      <c r="S6" s="440">
        <v>161</v>
      </c>
      <c r="T6" s="292">
        <f>M6*2+N6-R6</f>
        <v>7</v>
      </c>
      <c r="U6" s="299">
        <v>26</v>
      </c>
    </row>
    <row r="7" spans="1:21" s="166" customFormat="1" ht="15">
      <c r="A7" s="48"/>
      <c r="B7" s="291">
        <v>3</v>
      </c>
      <c r="C7" s="303" t="s">
        <v>124</v>
      </c>
      <c r="D7" s="292"/>
      <c r="E7" s="292"/>
      <c r="F7" s="117"/>
      <c r="G7" s="292"/>
      <c r="H7" s="292"/>
      <c r="I7" s="292"/>
      <c r="J7" s="292"/>
      <c r="K7" s="292"/>
      <c r="L7" s="297">
        <v>6</v>
      </c>
      <c r="M7" s="298">
        <v>3</v>
      </c>
      <c r="N7" s="298">
        <v>1</v>
      </c>
      <c r="O7" s="298">
        <v>2</v>
      </c>
      <c r="P7" s="292" t="s">
        <v>493</v>
      </c>
      <c r="Q7" s="298"/>
      <c r="R7" s="292"/>
      <c r="S7" s="440">
        <v>152</v>
      </c>
      <c r="T7" s="292">
        <f>M7*2+N7-R7</f>
        <v>7</v>
      </c>
      <c r="U7" s="299">
        <v>26</v>
      </c>
    </row>
    <row r="8" spans="1:21" s="166" customFormat="1" ht="15">
      <c r="A8" s="48"/>
      <c r="B8" s="291">
        <v>4</v>
      </c>
      <c r="C8" s="303" t="s">
        <v>8</v>
      </c>
      <c r="D8" s="292"/>
      <c r="E8" s="292"/>
      <c r="F8" s="292"/>
      <c r="G8" s="117"/>
      <c r="H8" s="292"/>
      <c r="I8" s="292"/>
      <c r="J8" s="292"/>
      <c r="K8" s="292"/>
      <c r="L8" s="297">
        <v>6</v>
      </c>
      <c r="M8" s="298">
        <v>4</v>
      </c>
      <c r="N8" s="292"/>
      <c r="O8" s="298">
        <v>2</v>
      </c>
      <c r="P8" s="292" t="s">
        <v>494</v>
      </c>
      <c r="Q8" s="298"/>
      <c r="R8" s="292" t="s">
        <v>141</v>
      </c>
      <c r="S8" s="440">
        <v>139</v>
      </c>
      <c r="T8" s="292">
        <f>M8*2+N8-R8</f>
        <v>6</v>
      </c>
      <c r="U8" s="299">
        <v>26</v>
      </c>
    </row>
    <row r="9" spans="1:21" s="290" customFormat="1" ht="15">
      <c r="A9" s="48"/>
      <c r="B9" s="247">
        <v>5</v>
      </c>
      <c r="C9" s="248" t="s">
        <v>201</v>
      </c>
      <c r="D9" s="217"/>
      <c r="E9" s="217"/>
      <c r="F9" s="217"/>
      <c r="G9" s="217"/>
      <c r="H9" s="117"/>
      <c r="I9" s="217"/>
      <c r="J9" s="217"/>
      <c r="K9" s="217"/>
      <c r="L9" s="119">
        <v>6</v>
      </c>
      <c r="M9" s="59">
        <v>1</v>
      </c>
      <c r="N9" s="59">
        <v>1</v>
      </c>
      <c r="O9" s="59">
        <v>4</v>
      </c>
      <c r="P9" s="49" t="s">
        <v>495</v>
      </c>
      <c r="Q9" s="59"/>
      <c r="R9" s="49"/>
      <c r="S9" s="441">
        <v>151</v>
      </c>
      <c r="T9" s="49">
        <f>M9*2+N9-R9</f>
        <v>3</v>
      </c>
      <c r="U9" s="116" t="s">
        <v>320</v>
      </c>
    </row>
    <row r="10" spans="1:21" s="290" customFormat="1" ht="15">
      <c r="A10" s="48"/>
      <c r="B10" s="247">
        <v>6</v>
      </c>
      <c r="C10" s="248" t="s">
        <v>198</v>
      </c>
      <c r="D10" s="217"/>
      <c r="E10" s="217"/>
      <c r="F10" s="217"/>
      <c r="G10" s="49"/>
      <c r="H10" s="49"/>
      <c r="I10" s="117"/>
      <c r="J10" s="217"/>
      <c r="K10" s="217"/>
      <c r="L10" s="119">
        <v>6</v>
      </c>
      <c r="M10" s="59">
        <v>2</v>
      </c>
      <c r="N10" s="49"/>
      <c r="O10" s="59">
        <v>4</v>
      </c>
      <c r="P10" s="49" t="s">
        <v>496</v>
      </c>
      <c r="Q10" s="59"/>
      <c r="R10" s="49" t="s">
        <v>319</v>
      </c>
      <c r="S10" s="441">
        <v>115</v>
      </c>
      <c r="T10" s="49">
        <f>M10*2+N10-R10</f>
        <v>-3</v>
      </c>
      <c r="U10" s="116" t="s">
        <v>329</v>
      </c>
    </row>
    <row r="11" spans="1:21" s="166" customFormat="1" ht="15">
      <c r="A11" s="48"/>
      <c r="B11" s="247">
        <v>7</v>
      </c>
      <c r="C11" s="248" t="s">
        <v>176</v>
      </c>
      <c r="D11" s="217"/>
      <c r="E11" s="217"/>
      <c r="F11" s="217"/>
      <c r="G11" s="49"/>
      <c r="H11" s="49"/>
      <c r="I11" s="217"/>
      <c r="J11" s="117"/>
      <c r="K11" s="217"/>
      <c r="L11" s="119">
        <v>6</v>
      </c>
      <c r="M11" s="59">
        <v>1</v>
      </c>
      <c r="N11" s="59">
        <v>1</v>
      </c>
      <c r="O11" s="59">
        <v>4</v>
      </c>
      <c r="P11" s="49" t="s">
        <v>497</v>
      </c>
      <c r="Q11" s="59"/>
      <c r="R11" s="49" t="s">
        <v>319</v>
      </c>
      <c r="S11" s="441">
        <v>121</v>
      </c>
      <c r="T11" s="49">
        <f>M11*2+N11-R11</f>
        <v>-4</v>
      </c>
      <c r="U11" s="116" t="s">
        <v>515</v>
      </c>
    </row>
    <row r="12" spans="1:21" s="166" customFormat="1" ht="15.75" thickBot="1">
      <c r="A12" s="48"/>
      <c r="B12" s="300">
        <v>8</v>
      </c>
      <c r="C12" s="301"/>
      <c r="D12" s="302"/>
      <c r="E12" s="302"/>
      <c r="F12" s="302"/>
      <c r="G12" s="50"/>
      <c r="H12" s="50"/>
      <c r="I12" s="302"/>
      <c r="J12" s="302"/>
      <c r="K12" s="118"/>
      <c r="L12" s="120"/>
      <c r="M12" s="50"/>
      <c r="N12" s="50"/>
      <c r="O12" s="50"/>
      <c r="P12" s="50"/>
      <c r="Q12" s="60"/>
      <c r="R12" s="50"/>
      <c r="S12" s="151"/>
      <c r="T12" s="60">
        <f>M12*2+N12-R12*7</f>
        <v>0</v>
      </c>
      <c r="U12" s="152" t="s">
        <v>516</v>
      </c>
    </row>
    <row r="13" ht="15.75" thickBot="1">
      <c r="L13" s="170"/>
    </row>
    <row r="14" spans="1:21" s="166" customFormat="1" ht="15.75" thickBot="1">
      <c r="A14" s="48"/>
      <c r="B14" s="37" t="s">
        <v>0</v>
      </c>
      <c r="C14" s="245" t="s">
        <v>499</v>
      </c>
      <c r="D14" s="35">
        <v>1</v>
      </c>
      <c r="E14" s="36">
        <v>2</v>
      </c>
      <c r="F14" s="56">
        <v>3</v>
      </c>
      <c r="G14" s="36">
        <v>4</v>
      </c>
      <c r="H14" s="36">
        <v>5</v>
      </c>
      <c r="I14" s="36">
        <v>6</v>
      </c>
      <c r="J14" s="36">
        <v>7</v>
      </c>
      <c r="K14" s="36">
        <v>8</v>
      </c>
      <c r="L14" s="56" t="s">
        <v>1</v>
      </c>
      <c r="M14" s="36" t="s">
        <v>2</v>
      </c>
      <c r="N14" s="36" t="s">
        <v>3</v>
      </c>
      <c r="O14" s="36" t="s">
        <v>4</v>
      </c>
      <c r="P14" s="57" t="s">
        <v>97</v>
      </c>
      <c r="Q14" s="36" t="s">
        <v>5</v>
      </c>
      <c r="R14" s="36" t="s">
        <v>104</v>
      </c>
      <c r="S14" s="36" t="s">
        <v>98</v>
      </c>
      <c r="T14" s="53" t="s">
        <v>6</v>
      </c>
      <c r="U14" s="58" t="s">
        <v>99</v>
      </c>
    </row>
    <row r="15" spans="1:21" s="166" customFormat="1" ht="15">
      <c r="A15" s="48"/>
      <c r="B15" s="291">
        <v>1</v>
      </c>
      <c r="C15" s="303" t="s">
        <v>14</v>
      </c>
      <c r="D15" s="117"/>
      <c r="E15" s="292"/>
      <c r="F15" s="292"/>
      <c r="G15" s="292"/>
      <c r="H15" s="292"/>
      <c r="I15" s="292"/>
      <c r="J15" s="292"/>
      <c r="K15" s="292"/>
      <c r="L15" s="293">
        <v>7</v>
      </c>
      <c r="M15" s="295">
        <v>4</v>
      </c>
      <c r="N15" s="294" t="s">
        <v>142</v>
      </c>
      <c r="O15" s="295"/>
      <c r="P15" s="294" t="s">
        <v>500</v>
      </c>
      <c r="Q15" s="295"/>
      <c r="R15" s="294"/>
      <c r="S15" s="439">
        <v>179</v>
      </c>
      <c r="T15" s="292">
        <f>M15*2+N15-R15</f>
        <v>11</v>
      </c>
      <c r="U15" s="296">
        <v>26</v>
      </c>
    </row>
    <row r="16" spans="1:21" s="166" customFormat="1" ht="15">
      <c r="A16" s="48"/>
      <c r="B16" s="291">
        <v>2</v>
      </c>
      <c r="C16" s="303" t="s">
        <v>88</v>
      </c>
      <c r="D16" s="292"/>
      <c r="E16" s="117"/>
      <c r="F16" s="292"/>
      <c r="G16" s="292"/>
      <c r="H16" s="292"/>
      <c r="I16" s="292"/>
      <c r="J16" s="292"/>
      <c r="K16" s="292"/>
      <c r="L16" s="297">
        <v>7</v>
      </c>
      <c r="M16" s="298">
        <v>4</v>
      </c>
      <c r="N16" s="298">
        <v>3</v>
      </c>
      <c r="O16" s="298"/>
      <c r="P16" s="292" t="s">
        <v>501</v>
      </c>
      <c r="Q16" s="298"/>
      <c r="R16" s="292"/>
      <c r="S16" s="440">
        <v>181</v>
      </c>
      <c r="T16" s="292">
        <f>M16*2+N16-R16</f>
        <v>11</v>
      </c>
      <c r="U16" s="299">
        <v>26</v>
      </c>
    </row>
    <row r="17" spans="1:21" s="166" customFormat="1" ht="15">
      <c r="A17" s="48"/>
      <c r="B17" s="291">
        <v>3</v>
      </c>
      <c r="C17" s="303" t="s">
        <v>129</v>
      </c>
      <c r="D17" s="292"/>
      <c r="E17" s="292"/>
      <c r="F17" s="117"/>
      <c r="G17" s="292"/>
      <c r="H17" s="292"/>
      <c r="I17" s="292"/>
      <c r="J17" s="292"/>
      <c r="K17" s="292"/>
      <c r="L17" s="297">
        <v>7</v>
      </c>
      <c r="M17" s="298">
        <v>2</v>
      </c>
      <c r="N17" s="298">
        <v>2</v>
      </c>
      <c r="O17" s="298">
        <v>3</v>
      </c>
      <c r="P17" s="292" t="s">
        <v>502</v>
      </c>
      <c r="Q17" s="298"/>
      <c r="R17" s="292"/>
      <c r="S17" s="440">
        <v>179</v>
      </c>
      <c r="T17" s="292">
        <f>M17*2+N17-R17</f>
        <v>6</v>
      </c>
      <c r="U17" s="299">
        <v>26</v>
      </c>
    </row>
    <row r="18" spans="1:21" s="166" customFormat="1" ht="15">
      <c r="A18" s="48"/>
      <c r="B18" s="291">
        <v>4</v>
      </c>
      <c r="C18" s="303" t="s">
        <v>127</v>
      </c>
      <c r="D18" s="292"/>
      <c r="E18" s="292"/>
      <c r="F18" s="292"/>
      <c r="G18" s="117"/>
      <c r="H18" s="292"/>
      <c r="I18" s="292"/>
      <c r="J18" s="292"/>
      <c r="K18" s="292"/>
      <c r="L18" s="297">
        <v>7</v>
      </c>
      <c r="M18" s="298">
        <v>3</v>
      </c>
      <c r="N18" s="292"/>
      <c r="O18" s="298">
        <v>4</v>
      </c>
      <c r="P18" s="292" t="s">
        <v>503</v>
      </c>
      <c r="Q18" s="298"/>
      <c r="R18" s="292"/>
      <c r="S18" s="440">
        <v>178</v>
      </c>
      <c r="T18" s="292">
        <f>M18*2+N18-R18</f>
        <v>6</v>
      </c>
      <c r="U18" s="299">
        <v>26</v>
      </c>
    </row>
    <row r="19" spans="1:21" s="290" customFormat="1" ht="15">
      <c r="A19" s="48"/>
      <c r="B19" s="247">
        <v>5</v>
      </c>
      <c r="C19" s="248" t="s">
        <v>133</v>
      </c>
      <c r="D19" s="217"/>
      <c r="E19" s="217"/>
      <c r="F19" s="217"/>
      <c r="G19" s="217"/>
      <c r="H19" s="117"/>
      <c r="I19" s="217"/>
      <c r="J19" s="217"/>
      <c r="K19" s="217"/>
      <c r="L19" s="119">
        <v>7</v>
      </c>
      <c r="M19" s="59">
        <v>3</v>
      </c>
      <c r="N19" s="59">
        <v>1</v>
      </c>
      <c r="O19" s="59">
        <v>3</v>
      </c>
      <c r="P19" s="49" t="s">
        <v>503</v>
      </c>
      <c r="Q19" s="59"/>
      <c r="R19" s="49" t="s">
        <v>141</v>
      </c>
      <c r="S19" s="441">
        <v>137</v>
      </c>
      <c r="T19" s="49">
        <f>M19*2+N19-R19</f>
        <v>5</v>
      </c>
      <c r="U19" s="116" t="s">
        <v>320</v>
      </c>
    </row>
    <row r="20" spans="1:21" s="290" customFormat="1" ht="15">
      <c r="A20" s="48"/>
      <c r="B20" s="247">
        <v>6</v>
      </c>
      <c r="C20" s="248" t="s">
        <v>200</v>
      </c>
      <c r="D20" s="217"/>
      <c r="E20" s="217"/>
      <c r="F20" s="217"/>
      <c r="G20" s="49"/>
      <c r="H20" s="49"/>
      <c r="I20" s="117"/>
      <c r="J20" s="217"/>
      <c r="K20" s="217"/>
      <c r="L20" s="119">
        <v>7</v>
      </c>
      <c r="M20" s="59">
        <v>2</v>
      </c>
      <c r="N20" s="49" t="s">
        <v>140</v>
      </c>
      <c r="O20" s="59">
        <v>4</v>
      </c>
      <c r="P20" s="49" t="s">
        <v>504</v>
      </c>
      <c r="Q20" s="59"/>
      <c r="R20" s="49"/>
      <c r="S20" s="441">
        <v>181</v>
      </c>
      <c r="T20" s="49">
        <f>M20*2+N20-R20</f>
        <v>5</v>
      </c>
      <c r="U20" s="116" t="s">
        <v>329</v>
      </c>
    </row>
    <row r="21" spans="1:21" s="166" customFormat="1" ht="15">
      <c r="A21" s="48"/>
      <c r="B21" s="247">
        <v>7</v>
      </c>
      <c r="C21" s="248" t="s">
        <v>83</v>
      </c>
      <c r="D21" s="217"/>
      <c r="E21" s="217"/>
      <c r="F21" s="217"/>
      <c r="G21" s="49"/>
      <c r="H21" s="49"/>
      <c r="I21" s="217"/>
      <c r="J21" s="117"/>
      <c r="K21" s="217"/>
      <c r="L21" s="119">
        <v>7</v>
      </c>
      <c r="M21" s="59">
        <v>2</v>
      </c>
      <c r="N21" s="59">
        <v>1</v>
      </c>
      <c r="O21" s="59">
        <v>4</v>
      </c>
      <c r="P21" s="49" t="s">
        <v>504</v>
      </c>
      <c r="Q21" s="59"/>
      <c r="R21" s="49"/>
      <c r="S21" s="441">
        <v>173</v>
      </c>
      <c r="T21" s="49">
        <f>M21*2+N21-R21</f>
        <v>5</v>
      </c>
      <c r="U21" s="116" t="s">
        <v>515</v>
      </c>
    </row>
    <row r="22" spans="1:21" s="166" customFormat="1" ht="15.75" thickBot="1">
      <c r="A22" s="48"/>
      <c r="B22" s="300">
        <v>8</v>
      </c>
      <c r="C22" s="301" t="s">
        <v>12</v>
      </c>
      <c r="D22" s="302"/>
      <c r="E22" s="302"/>
      <c r="F22" s="302"/>
      <c r="G22" s="50"/>
      <c r="H22" s="50"/>
      <c r="I22" s="302"/>
      <c r="J22" s="302"/>
      <c r="K22" s="118"/>
      <c r="L22" s="120">
        <v>7</v>
      </c>
      <c r="M22" s="50" t="s">
        <v>141</v>
      </c>
      <c r="N22" s="50" t="s">
        <v>140</v>
      </c>
      <c r="O22" s="50" t="s">
        <v>145</v>
      </c>
      <c r="P22" s="50" t="s">
        <v>503</v>
      </c>
      <c r="Q22" s="60"/>
      <c r="R22" s="50"/>
      <c r="S22" s="151" t="s">
        <v>498</v>
      </c>
      <c r="T22" s="50">
        <f>M22*2+N22-R22*7</f>
        <v>5</v>
      </c>
      <c r="U22" s="152" t="s">
        <v>516</v>
      </c>
    </row>
    <row r="23" ht="15.75" thickBot="1">
      <c r="L23" s="170"/>
    </row>
    <row r="24" spans="1:21" s="166" customFormat="1" ht="15.75" thickBot="1">
      <c r="A24" s="48"/>
      <c r="B24" s="37" t="s">
        <v>0</v>
      </c>
      <c r="C24" s="245" t="s">
        <v>505</v>
      </c>
      <c r="D24" s="35">
        <v>1</v>
      </c>
      <c r="E24" s="36">
        <v>2</v>
      </c>
      <c r="F24" s="56">
        <v>3</v>
      </c>
      <c r="G24" s="36">
        <v>4</v>
      </c>
      <c r="H24" s="36">
        <v>5</v>
      </c>
      <c r="I24" s="36">
        <v>6</v>
      </c>
      <c r="J24" s="36">
        <v>7</v>
      </c>
      <c r="K24" s="36">
        <v>8</v>
      </c>
      <c r="L24" s="56" t="s">
        <v>1</v>
      </c>
      <c r="M24" s="36" t="s">
        <v>2</v>
      </c>
      <c r="N24" s="36" t="s">
        <v>3</v>
      </c>
      <c r="O24" s="36" t="s">
        <v>4</v>
      </c>
      <c r="P24" s="57" t="s">
        <v>97</v>
      </c>
      <c r="Q24" s="36" t="s">
        <v>5</v>
      </c>
      <c r="R24" s="36" t="s">
        <v>104</v>
      </c>
      <c r="S24" s="36" t="s">
        <v>98</v>
      </c>
      <c r="T24" s="53" t="s">
        <v>6</v>
      </c>
      <c r="U24" s="58" t="s">
        <v>99</v>
      </c>
    </row>
    <row r="25" spans="1:21" s="166" customFormat="1" ht="15">
      <c r="A25" s="48"/>
      <c r="B25" s="291">
        <v>1</v>
      </c>
      <c r="C25" s="303" t="s">
        <v>126</v>
      </c>
      <c r="D25" s="117"/>
      <c r="E25" s="292"/>
      <c r="F25" s="292"/>
      <c r="G25" s="292"/>
      <c r="H25" s="292"/>
      <c r="I25" s="292"/>
      <c r="J25" s="292"/>
      <c r="K25" s="292"/>
      <c r="L25" s="293">
        <v>7</v>
      </c>
      <c r="M25" s="295">
        <v>6</v>
      </c>
      <c r="N25" s="294"/>
      <c r="O25" s="295">
        <v>1</v>
      </c>
      <c r="P25" s="294" t="s">
        <v>508</v>
      </c>
      <c r="Q25" s="295"/>
      <c r="R25" s="294"/>
      <c r="S25" s="439">
        <v>189</v>
      </c>
      <c r="T25" s="292">
        <f>M25*2+N25-R25</f>
        <v>12</v>
      </c>
      <c r="U25" s="296">
        <v>26</v>
      </c>
    </row>
    <row r="26" spans="1:21" s="166" customFormat="1" ht="15">
      <c r="A26" s="48"/>
      <c r="B26" s="291">
        <v>2</v>
      </c>
      <c r="C26" s="303" t="s">
        <v>178</v>
      </c>
      <c r="D26" s="292"/>
      <c r="E26" s="117"/>
      <c r="F26" s="292"/>
      <c r="G26" s="292"/>
      <c r="H26" s="292"/>
      <c r="I26" s="292"/>
      <c r="J26" s="292"/>
      <c r="K26" s="292"/>
      <c r="L26" s="297">
        <v>7</v>
      </c>
      <c r="M26" s="298">
        <v>3</v>
      </c>
      <c r="N26" s="298">
        <v>2</v>
      </c>
      <c r="O26" s="298">
        <v>2</v>
      </c>
      <c r="P26" s="292" t="s">
        <v>509</v>
      </c>
      <c r="Q26" s="298"/>
      <c r="R26" s="292"/>
      <c r="S26" s="440">
        <v>159</v>
      </c>
      <c r="T26" s="292">
        <f>M26*2+N26-R26</f>
        <v>8</v>
      </c>
      <c r="U26" s="299">
        <v>26</v>
      </c>
    </row>
    <row r="27" spans="1:21" s="166" customFormat="1" ht="15">
      <c r="A27" s="48"/>
      <c r="B27" s="291">
        <v>3</v>
      </c>
      <c r="C27" s="303" t="s">
        <v>132</v>
      </c>
      <c r="D27" s="292"/>
      <c r="E27" s="292"/>
      <c r="F27" s="117"/>
      <c r="G27" s="292"/>
      <c r="H27" s="292"/>
      <c r="I27" s="292"/>
      <c r="J27" s="292"/>
      <c r="K27" s="292"/>
      <c r="L27" s="297">
        <v>7</v>
      </c>
      <c r="M27" s="298">
        <v>3</v>
      </c>
      <c r="N27" s="298">
        <v>1</v>
      </c>
      <c r="O27" s="298">
        <v>3</v>
      </c>
      <c r="P27" s="292" t="s">
        <v>503</v>
      </c>
      <c r="Q27" s="298"/>
      <c r="R27" s="292"/>
      <c r="S27" s="440">
        <v>169</v>
      </c>
      <c r="T27" s="292">
        <f>M27*2+N27-R27</f>
        <v>7</v>
      </c>
      <c r="U27" s="299">
        <v>26</v>
      </c>
    </row>
    <row r="28" spans="1:21" s="166" customFormat="1" ht="15">
      <c r="A28" s="48"/>
      <c r="B28" s="291">
        <v>4</v>
      </c>
      <c r="C28" s="303" t="s">
        <v>507</v>
      </c>
      <c r="D28" s="292"/>
      <c r="E28" s="292"/>
      <c r="F28" s="292"/>
      <c r="G28" s="117"/>
      <c r="H28" s="292"/>
      <c r="I28" s="292"/>
      <c r="J28" s="292"/>
      <c r="K28" s="292"/>
      <c r="L28" s="297">
        <v>7</v>
      </c>
      <c r="M28" s="298">
        <v>3</v>
      </c>
      <c r="N28" s="292" t="s">
        <v>140</v>
      </c>
      <c r="O28" s="298">
        <v>3</v>
      </c>
      <c r="P28" s="292" t="s">
        <v>510</v>
      </c>
      <c r="Q28" s="298"/>
      <c r="R28" s="292"/>
      <c r="S28" s="440">
        <v>154</v>
      </c>
      <c r="T28" s="292">
        <f>M28*2+N28-R28</f>
        <v>7</v>
      </c>
      <c r="U28" s="299">
        <v>26</v>
      </c>
    </row>
    <row r="29" spans="1:21" s="290" customFormat="1" ht="15">
      <c r="A29" s="48"/>
      <c r="B29" s="247">
        <v>5</v>
      </c>
      <c r="C29" s="248" t="s">
        <v>87</v>
      </c>
      <c r="D29" s="217"/>
      <c r="E29" s="217"/>
      <c r="F29" s="217"/>
      <c r="G29" s="217"/>
      <c r="H29" s="117"/>
      <c r="I29" s="217"/>
      <c r="J29" s="217"/>
      <c r="K29" s="217"/>
      <c r="L29" s="119">
        <v>7</v>
      </c>
      <c r="M29" s="59">
        <v>3</v>
      </c>
      <c r="N29" s="59"/>
      <c r="O29" s="59">
        <v>4</v>
      </c>
      <c r="P29" s="49" t="s">
        <v>511</v>
      </c>
      <c r="Q29" s="59"/>
      <c r="R29" s="49"/>
      <c r="S29" s="441">
        <v>168</v>
      </c>
      <c r="T29" s="49">
        <f>M29*2+N29-R29</f>
        <v>6</v>
      </c>
      <c r="U29" s="116" t="s">
        <v>320</v>
      </c>
    </row>
    <row r="30" spans="1:21" s="290" customFormat="1" ht="15">
      <c r="A30" s="48"/>
      <c r="B30" s="247">
        <v>6</v>
      </c>
      <c r="C30" s="248" t="s">
        <v>20</v>
      </c>
      <c r="D30" s="217"/>
      <c r="E30" s="217"/>
      <c r="F30" s="217"/>
      <c r="G30" s="49"/>
      <c r="H30" s="49"/>
      <c r="I30" s="117"/>
      <c r="J30" s="217"/>
      <c r="K30" s="217"/>
      <c r="L30" s="119">
        <v>7</v>
      </c>
      <c r="M30" s="59">
        <v>2</v>
      </c>
      <c r="N30" s="49" t="s">
        <v>141</v>
      </c>
      <c r="O30" s="59">
        <v>3</v>
      </c>
      <c r="P30" s="49" t="s">
        <v>512</v>
      </c>
      <c r="Q30" s="59"/>
      <c r="R30" s="49"/>
      <c r="S30" s="441">
        <v>160</v>
      </c>
      <c r="T30" s="49">
        <f>M30*2+N30-R30</f>
        <v>6</v>
      </c>
      <c r="U30" s="116" t="s">
        <v>329</v>
      </c>
    </row>
    <row r="31" spans="1:21" s="166" customFormat="1" ht="15">
      <c r="A31" s="48"/>
      <c r="B31" s="247">
        <v>7</v>
      </c>
      <c r="C31" s="248" t="s">
        <v>62</v>
      </c>
      <c r="D31" s="217"/>
      <c r="E31" s="217"/>
      <c r="F31" s="217"/>
      <c r="G31" s="49"/>
      <c r="H31" s="49"/>
      <c r="I31" s="217"/>
      <c r="J31" s="117"/>
      <c r="K31" s="217"/>
      <c r="L31" s="119">
        <v>7</v>
      </c>
      <c r="M31" s="59">
        <v>2</v>
      </c>
      <c r="N31" s="59">
        <v>1</v>
      </c>
      <c r="O31" s="59">
        <v>4</v>
      </c>
      <c r="P31" s="49" t="s">
        <v>512</v>
      </c>
      <c r="Q31" s="59"/>
      <c r="R31" s="49"/>
      <c r="S31" s="441">
        <v>182</v>
      </c>
      <c r="T31" s="49">
        <f>M31*2+N31-R31</f>
        <v>5</v>
      </c>
      <c r="U31" s="116" t="s">
        <v>515</v>
      </c>
    </row>
    <row r="32" spans="1:21" s="166" customFormat="1" ht="15.75" thickBot="1">
      <c r="A32" s="48"/>
      <c r="B32" s="300">
        <v>8</v>
      </c>
      <c r="C32" s="301" t="s">
        <v>18</v>
      </c>
      <c r="D32" s="302"/>
      <c r="E32" s="302"/>
      <c r="F32" s="302"/>
      <c r="G32" s="50"/>
      <c r="H32" s="50"/>
      <c r="I32" s="302"/>
      <c r="J32" s="302"/>
      <c r="K32" s="118"/>
      <c r="L32" s="120">
        <v>7</v>
      </c>
      <c r="M32" s="50" t="s">
        <v>141</v>
      </c>
      <c r="N32" s="50" t="s">
        <v>140</v>
      </c>
      <c r="O32" s="50" t="s">
        <v>145</v>
      </c>
      <c r="P32" s="50" t="s">
        <v>513</v>
      </c>
      <c r="Q32" s="60"/>
      <c r="R32" s="50"/>
      <c r="S32" s="151" t="s">
        <v>514</v>
      </c>
      <c r="T32" s="50">
        <f>M32*2+N32-R32*7</f>
        <v>5</v>
      </c>
      <c r="U32" s="152" t="s">
        <v>516</v>
      </c>
    </row>
    <row r="33" ht="15">
      <c r="L33" s="170"/>
    </row>
    <row r="35" spans="2:23" ht="21.75" thickBot="1">
      <c r="B35" s="194"/>
      <c r="C35" s="150" t="s">
        <v>137</v>
      </c>
      <c r="D35" s="194"/>
      <c r="E35" s="194"/>
      <c r="F35" s="194"/>
      <c r="G35" s="194"/>
      <c r="H35" s="194"/>
      <c r="I35" s="194"/>
      <c r="J35" s="194"/>
      <c r="K35" s="194"/>
      <c r="M35" s="194"/>
      <c r="N35" s="194"/>
      <c r="O35" s="194"/>
      <c r="P35" s="194"/>
      <c r="R35" s="194"/>
      <c r="S35" s="194"/>
      <c r="T35" s="194"/>
      <c r="U35" s="194"/>
      <c r="V35" s="194"/>
      <c r="W35" s="194"/>
    </row>
    <row r="36" spans="2:26" ht="16.5" thickBot="1">
      <c r="B36" s="37" t="s">
        <v>0</v>
      </c>
      <c r="C36" s="443" t="s">
        <v>517</v>
      </c>
      <c r="D36" s="36">
        <v>1</v>
      </c>
      <c r="E36" s="36">
        <v>2</v>
      </c>
      <c r="F36" s="36">
        <v>3</v>
      </c>
      <c r="G36" s="36">
        <v>4</v>
      </c>
      <c r="H36" s="67">
        <v>5</v>
      </c>
      <c r="I36" s="38">
        <v>6</v>
      </c>
      <c r="J36" s="38">
        <v>7</v>
      </c>
      <c r="K36" s="38">
        <v>8</v>
      </c>
      <c r="L36" s="67">
        <v>9</v>
      </c>
      <c r="M36" s="38">
        <v>10</v>
      </c>
      <c r="N36" s="67">
        <v>11</v>
      </c>
      <c r="O36" s="38">
        <v>12</v>
      </c>
      <c r="P36" s="38">
        <v>13</v>
      </c>
      <c r="Q36" s="67" t="s">
        <v>1</v>
      </c>
      <c r="R36" s="38" t="s">
        <v>2</v>
      </c>
      <c r="S36" s="38" t="s">
        <v>3</v>
      </c>
      <c r="T36" s="38" t="s">
        <v>4</v>
      </c>
      <c r="U36" s="207" t="s">
        <v>97</v>
      </c>
      <c r="V36" s="38" t="s">
        <v>5</v>
      </c>
      <c r="W36" s="38" t="s">
        <v>104</v>
      </c>
      <c r="X36" s="38" t="s">
        <v>98</v>
      </c>
      <c r="Y36" s="38" t="s">
        <v>6</v>
      </c>
      <c r="Z36" s="208" t="s">
        <v>99</v>
      </c>
    </row>
    <row r="37" spans="2:26" ht="15">
      <c r="B37" s="291">
        <v>1</v>
      </c>
      <c r="C37" s="336" t="s">
        <v>63</v>
      </c>
      <c r="D37" s="338"/>
      <c r="E37" s="294"/>
      <c r="F37" s="294"/>
      <c r="G37" s="339"/>
      <c r="H37" s="337"/>
      <c r="I37" s="292"/>
      <c r="J37" s="292"/>
      <c r="K37" s="292"/>
      <c r="L37" s="292"/>
      <c r="M37" s="292"/>
      <c r="N37" s="292"/>
      <c r="O37" s="292"/>
      <c r="P37" s="292"/>
      <c r="Q37" s="298">
        <v>12</v>
      </c>
      <c r="R37" s="292" t="s">
        <v>544</v>
      </c>
      <c r="S37" s="292" t="s">
        <v>141</v>
      </c>
      <c r="T37" s="292" t="s">
        <v>140</v>
      </c>
      <c r="U37" s="292" t="s">
        <v>547</v>
      </c>
      <c r="V37" s="298">
        <v>20</v>
      </c>
      <c r="W37" s="292"/>
      <c r="X37" s="298">
        <v>295</v>
      </c>
      <c r="Y37" s="292">
        <f>R37*2+S37</f>
        <v>20</v>
      </c>
      <c r="Z37" s="332">
        <v>8</v>
      </c>
    </row>
    <row r="38" spans="2:26" ht="15">
      <c r="B38" s="291">
        <v>2</v>
      </c>
      <c r="C38" s="336" t="s">
        <v>60</v>
      </c>
      <c r="D38" s="340"/>
      <c r="E38" s="333"/>
      <c r="F38" s="292"/>
      <c r="G38" s="341"/>
      <c r="H38" s="337"/>
      <c r="I38" s="292"/>
      <c r="J38" s="292"/>
      <c r="K38" s="292"/>
      <c r="L38" s="292"/>
      <c r="M38" s="292"/>
      <c r="N38" s="292"/>
      <c r="O38" s="292"/>
      <c r="P38" s="292"/>
      <c r="Q38" s="298">
        <v>12</v>
      </c>
      <c r="R38" s="292" t="s">
        <v>545</v>
      </c>
      <c r="S38" s="292" t="s">
        <v>140</v>
      </c>
      <c r="T38" s="292" t="s">
        <v>142</v>
      </c>
      <c r="U38" s="292" t="s">
        <v>548</v>
      </c>
      <c r="V38" s="298">
        <v>13</v>
      </c>
      <c r="W38" s="292"/>
      <c r="X38" s="298">
        <v>288</v>
      </c>
      <c r="Y38" s="292">
        <f aca="true" t="shared" si="0" ref="Y38:Y48">R38*2+S38</f>
        <v>17</v>
      </c>
      <c r="Z38" s="332">
        <v>8</v>
      </c>
    </row>
    <row r="39" spans="2:26" ht="15">
      <c r="B39" s="291">
        <v>3</v>
      </c>
      <c r="C39" s="336" t="s">
        <v>128</v>
      </c>
      <c r="D39" s="340"/>
      <c r="E39" s="292"/>
      <c r="F39" s="333"/>
      <c r="G39" s="341"/>
      <c r="H39" s="337"/>
      <c r="I39" s="292"/>
      <c r="J39" s="292"/>
      <c r="K39" s="292"/>
      <c r="L39" s="292"/>
      <c r="M39" s="292"/>
      <c r="N39" s="292"/>
      <c r="O39" s="292"/>
      <c r="P39" s="292"/>
      <c r="Q39" s="298">
        <v>12</v>
      </c>
      <c r="R39" s="292" t="s">
        <v>546</v>
      </c>
      <c r="S39" s="292" t="s">
        <v>145</v>
      </c>
      <c r="T39" s="292" t="s">
        <v>141</v>
      </c>
      <c r="U39" s="292" t="s">
        <v>549</v>
      </c>
      <c r="V39" s="298">
        <v>21</v>
      </c>
      <c r="W39" s="292"/>
      <c r="X39" s="298">
        <v>300</v>
      </c>
      <c r="Y39" s="292">
        <f t="shared" si="0"/>
        <v>16</v>
      </c>
      <c r="Z39" s="332">
        <v>8</v>
      </c>
    </row>
    <row r="40" spans="2:26" ht="15.75" thickBot="1">
      <c r="B40" s="291">
        <v>4</v>
      </c>
      <c r="C40" s="336" t="s">
        <v>174</v>
      </c>
      <c r="D40" s="342"/>
      <c r="E40" s="343"/>
      <c r="F40" s="343"/>
      <c r="G40" s="344"/>
      <c r="H40" s="337"/>
      <c r="I40" s="292"/>
      <c r="J40" s="292"/>
      <c r="K40" s="292"/>
      <c r="L40" s="292"/>
      <c r="M40" s="292"/>
      <c r="N40" s="292"/>
      <c r="O40" s="292"/>
      <c r="P40" s="292"/>
      <c r="Q40" s="298">
        <v>12</v>
      </c>
      <c r="R40" s="292" t="s">
        <v>546</v>
      </c>
      <c r="S40" s="292" t="s">
        <v>141</v>
      </c>
      <c r="T40" s="292" t="s">
        <v>145</v>
      </c>
      <c r="U40" s="292" t="s">
        <v>550</v>
      </c>
      <c r="V40" s="298">
        <v>5</v>
      </c>
      <c r="W40" s="292"/>
      <c r="X40" s="298">
        <v>280</v>
      </c>
      <c r="Y40" s="292">
        <f t="shared" si="0"/>
        <v>14</v>
      </c>
      <c r="Z40" s="332">
        <v>8</v>
      </c>
    </row>
    <row r="41" spans="2:26" ht="15">
      <c r="B41" s="54">
        <v>5</v>
      </c>
      <c r="C41" s="329" t="s">
        <v>129</v>
      </c>
      <c r="D41" s="178"/>
      <c r="E41" s="178"/>
      <c r="F41" s="178"/>
      <c r="G41" s="178"/>
      <c r="H41" s="333"/>
      <c r="I41" s="217"/>
      <c r="J41" s="49"/>
      <c r="K41" s="49"/>
      <c r="L41" s="49"/>
      <c r="M41" s="49"/>
      <c r="N41" s="59"/>
      <c r="O41" s="49"/>
      <c r="P41" s="49"/>
      <c r="Q41" s="59">
        <v>12</v>
      </c>
      <c r="R41" s="49" t="s">
        <v>139</v>
      </c>
      <c r="S41" s="49" t="s">
        <v>142</v>
      </c>
      <c r="T41" s="49" t="s">
        <v>145</v>
      </c>
      <c r="U41" s="49" t="s">
        <v>551</v>
      </c>
      <c r="V41" s="59">
        <v>1</v>
      </c>
      <c r="W41" s="49"/>
      <c r="X41" s="59">
        <v>284</v>
      </c>
      <c r="Y41" s="217">
        <f t="shared" si="0"/>
        <v>13</v>
      </c>
      <c r="Z41" s="209" t="s">
        <v>187</v>
      </c>
    </row>
    <row r="42" spans="2:26" ht="15">
      <c r="B42" s="54">
        <v>6</v>
      </c>
      <c r="C42" s="329" t="s">
        <v>507</v>
      </c>
      <c r="D42" s="49"/>
      <c r="E42" s="49"/>
      <c r="F42" s="49"/>
      <c r="G42" s="49"/>
      <c r="H42" s="49"/>
      <c r="I42" s="333"/>
      <c r="J42" s="49"/>
      <c r="K42" s="49"/>
      <c r="L42" s="49"/>
      <c r="M42" s="49"/>
      <c r="N42" s="59"/>
      <c r="O42" s="49"/>
      <c r="P42" s="49"/>
      <c r="Q42" s="59">
        <v>12</v>
      </c>
      <c r="R42" s="49" t="s">
        <v>139</v>
      </c>
      <c r="S42" s="49" t="s">
        <v>142</v>
      </c>
      <c r="T42" s="49" t="s">
        <v>145</v>
      </c>
      <c r="U42" s="49" t="s">
        <v>552</v>
      </c>
      <c r="V42" s="59"/>
      <c r="W42" s="49"/>
      <c r="X42" s="59">
        <v>261</v>
      </c>
      <c r="Y42" s="217">
        <f t="shared" si="0"/>
        <v>13</v>
      </c>
      <c r="Z42" s="209" t="s">
        <v>188</v>
      </c>
    </row>
    <row r="43" spans="1:26" s="194" customFormat="1" ht="15">
      <c r="A43" s="48"/>
      <c r="B43" s="54">
        <v>7</v>
      </c>
      <c r="C43" s="329" t="s">
        <v>132</v>
      </c>
      <c r="D43" s="49"/>
      <c r="E43" s="49"/>
      <c r="F43" s="49"/>
      <c r="G43" s="49"/>
      <c r="H43" s="49"/>
      <c r="I43" s="49"/>
      <c r="J43" s="333"/>
      <c r="K43" s="49"/>
      <c r="L43" s="49"/>
      <c r="M43" s="49"/>
      <c r="N43" s="59"/>
      <c r="O43" s="49"/>
      <c r="P43" s="49"/>
      <c r="Q43" s="59">
        <v>12</v>
      </c>
      <c r="R43" s="49" t="s">
        <v>139</v>
      </c>
      <c r="S43" s="49" t="s">
        <v>141</v>
      </c>
      <c r="T43" s="49" t="s">
        <v>139</v>
      </c>
      <c r="U43" s="49" t="s">
        <v>318</v>
      </c>
      <c r="V43" s="59">
        <v>-1</v>
      </c>
      <c r="W43" s="49"/>
      <c r="X43" s="59">
        <v>286</v>
      </c>
      <c r="Y43" s="217">
        <f t="shared" si="0"/>
        <v>12</v>
      </c>
      <c r="Z43" s="209" t="s">
        <v>160</v>
      </c>
    </row>
    <row r="44" spans="1:26" s="194" customFormat="1" ht="15">
      <c r="A44" s="48"/>
      <c r="B44" s="54">
        <v>8</v>
      </c>
      <c r="C44" s="442" t="s">
        <v>13</v>
      </c>
      <c r="D44" s="49"/>
      <c r="E44" s="49"/>
      <c r="F44" s="49"/>
      <c r="G44" s="49"/>
      <c r="H44" s="49"/>
      <c r="I44" s="49"/>
      <c r="J44" s="49"/>
      <c r="K44" s="333"/>
      <c r="L44" s="49"/>
      <c r="M44" s="49"/>
      <c r="N44" s="59"/>
      <c r="O44" s="49"/>
      <c r="P44" s="49"/>
      <c r="Q44" s="59">
        <v>12</v>
      </c>
      <c r="R44" s="49" t="s">
        <v>142</v>
      </c>
      <c r="S44" s="49" t="s">
        <v>145</v>
      </c>
      <c r="T44" s="49" t="s">
        <v>139</v>
      </c>
      <c r="U44" s="49" t="s">
        <v>553</v>
      </c>
      <c r="V44" s="59">
        <v>-8</v>
      </c>
      <c r="W44" s="49"/>
      <c r="X44" s="59">
        <v>278</v>
      </c>
      <c r="Y44" s="217">
        <f t="shared" si="0"/>
        <v>10</v>
      </c>
      <c r="Z44" s="209" t="s">
        <v>189</v>
      </c>
    </row>
    <row r="45" spans="1:26" s="194" customFormat="1" ht="15">
      <c r="A45" s="48"/>
      <c r="B45" s="54">
        <v>9</v>
      </c>
      <c r="C45" s="329" t="s">
        <v>127</v>
      </c>
      <c r="D45" s="49"/>
      <c r="E45" s="49"/>
      <c r="F45" s="49"/>
      <c r="G45" s="49"/>
      <c r="H45" s="49"/>
      <c r="I45" s="49"/>
      <c r="J45" s="49"/>
      <c r="K45" s="49"/>
      <c r="L45" s="333"/>
      <c r="M45" s="49"/>
      <c r="N45" s="59"/>
      <c r="O45" s="49"/>
      <c r="P45" s="49"/>
      <c r="Q45" s="59">
        <v>12</v>
      </c>
      <c r="R45" s="49" t="s">
        <v>141</v>
      </c>
      <c r="S45" s="49" t="s">
        <v>145</v>
      </c>
      <c r="T45" s="49" t="s">
        <v>546</v>
      </c>
      <c r="U45" s="49" t="s">
        <v>554</v>
      </c>
      <c r="V45" s="59">
        <v>-8</v>
      </c>
      <c r="W45" s="59"/>
      <c r="X45" s="59">
        <v>257</v>
      </c>
      <c r="Y45" s="217">
        <f t="shared" si="0"/>
        <v>8</v>
      </c>
      <c r="Z45" s="209" t="s">
        <v>186</v>
      </c>
    </row>
    <row r="46" spans="2:26" ht="15">
      <c r="B46" s="54">
        <v>10</v>
      </c>
      <c r="C46" s="329" t="s">
        <v>9</v>
      </c>
      <c r="D46" s="49"/>
      <c r="E46" s="49"/>
      <c r="F46" s="49"/>
      <c r="G46" s="49"/>
      <c r="H46" s="49"/>
      <c r="I46" s="49"/>
      <c r="J46" s="49"/>
      <c r="K46" s="49"/>
      <c r="L46" s="49"/>
      <c r="M46" s="333"/>
      <c r="N46" s="59"/>
      <c r="O46" s="49"/>
      <c r="P46" s="49"/>
      <c r="Q46" s="59">
        <v>12</v>
      </c>
      <c r="R46" s="49" t="s">
        <v>142</v>
      </c>
      <c r="S46" s="49" t="s">
        <v>141</v>
      </c>
      <c r="T46" s="49" t="s">
        <v>319</v>
      </c>
      <c r="U46" s="49" t="s">
        <v>328</v>
      </c>
      <c r="V46" s="59">
        <v>-10</v>
      </c>
      <c r="W46" s="49"/>
      <c r="X46" s="59">
        <v>273</v>
      </c>
      <c r="Y46" s="217">
        <f t="shared" si="0"/>
        <v>8</v>
      </c>
      <c r="Z46" s="209" t="s">
        <v>190</v>
      </c>
    </row>
    <row r="47" spans="1:26" s="327" customFormat="1" ht="15">
      <c r="A47" s="48"/>
      <c r="B47" s="54">
        <v>11</v>
      </c>
      <c r="C47" s="329" t="s">
        <v>14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334"/>
      <c r="O47" s="49"/>
      <c r="P47" s="49"/>
      <c r="Q47" s="59">
        <v>12</v>
      </c>
      <c r="R47" s="49" t="s">
        <v>142</v>
      </c>
      <c r="S47" s="49" t="s">
        <v>141</v>
      </c>
      <c r="T47" s="49" t="s">
        <v>319</v>
      </c>
      <c r="U47" s="49" t="s">
        <v>330</v>
      </c>
      <c r="V47" s="59">
        <v>-12</v>
      </c>
      <c r="W47" s="59"/>
      <c r="X47" s="59">
        <v>287</v>
      </c>
      <c r="Y47" s="217">
        <f t="shared" si="0"/>
        <v>8</v>
      </c>
      <c r="Z47" s="209" t="s">
        <v>209</v>
      </c>
    </row>
    <row r="48" spans="1:26" s="327" customFormat="1" ht="15">
      <c r="A48" s="48"/>
      <c r="B48" s="54">
        <v>12</v>
      </c>
      <c r="C48" s="329" t="s">
        <v>124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9"/>
      <c r="O48" s="333"/>
      <c r="P48" s="49"/>
      <c r="Q48" s="59">
        <v>12</v>
      </c>
      <c r="R48" s="49" t="s">
        <v>141</v>
      </c>
      <c r="S48" s="49" t="s">
        <v>145</v>
      </c>
      <c r="T48" s="49" t="s">
        <v>546</v>
      </c>
      <c r="U48" s="49" t="s">
        <v>555</v>
      </c>
      <c r="V48" s="59">
        <v>-15</v>
      </c>
      <c r="W48" s="59"/>
      <c r="X48" s="59">
        <v>264</v>
      </c>
      <c r="Y48" s="217">
        <f t="shared" si="0"/>
        <v>8</v>
      </c>
      <c r="Z48" s="209" t="s">
        <v>150</v>
      </c>
    </row>
    <row r="49" spans="1:26" s="327" customFormat="1" ht="15.75" thickBot="1">
      <c r="A49" s="48"/>
      <c r="B49" s="55">
        <v>13</v>
      </c>
      <c r="C49" s="331" t="s">
        <v>67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60"/>
      <c r="O49" s="50"/>
      <c r="P49" s="335"/>
      <c r="Q49" s="60">
        <v>12</v>
      </c>
      <c r="R49" s="50" t="s">
        <v>142</v>
      </c>
      <c r="S49" s="50" t="s">
        <v>142</v>
      </c>
      <c r="T49" s="50" t="s">
        <v>546</v>
      </c>
      <c r="U49" s="50" t="s">
        <v>479</v>
      </c>
      <c r="V49" s="60">
        <v>-6</v>
      </c>
      <c r="W49" s="60">
        <v>2</v>
      </c>
      <c r="X49" s="60">
        <v>257</v>
      </c>
      <c r="Y49" s="217">
        <f>R49*2+S49-W49</f>
        <v>7</v>
      </c>
      <c r="Z49" s="450" t="s">
        <v>323</v>
      </c>
    </row>
    <row r="50" spans="2:26" ht="15.75" thickBot="1">
      <c r="B50" s="205"/>
      <c r="C50" s="205"/>
      <c r="D50" s="205"/>
      <c r="E50" s="205"/>
      <c r="F50" s="205"/>
      <c r="G50" s="205"/>
      <c r="H50" s="205"/>
      <c r="I50" s="205"/>
      <c r="J50" s="205"/>
      <c r="K50" s="206"/>
      <c r="L50" s="181"/>
      <c r="M50" s="206"/>
      <c r="N50" s="204"/>
      <c r="O50" s="205"/>
      <c r="P50" s="205"/>
      <c r="Q50" s="204"/>
      <c r="R50" s="205"/>
      <c r="S50" s="205"/>
      <c r="T50" s="205"/>
      <c r="U50" s="206"/>
      <c r="V50" s="205"/>
      <c r="W50" s="205"/>
      <c r="X50" s="205"/>
      <c r="Y50" s="218"/>
      <c r="Z50" s="205"/>
    </row>
    <row r="51" spans="2:26" ht="15.75" thickBot="1">
      <c r="B51" s="37" t="s">
        <v>0</v>
      </c>
      <c r="C51" s="330" t="s">
        <v>518</v>
      </c>
      <c r="D51" s="36">
        <v>1</v>
      </c>
      <c r="E51" s="36">
        <v>2</v>
      </c>
      <c r="F51" s="36">
        <v>3</v>
      </c>
      <c r="G51" s="36">
        <v>4</v>
      </c>
      <c r="H51" s="67">
        <v>5</v>
      </c>
      <c r="I51" s="38">
        <v>6</v>
      </c>
      <c r="J51" s="38">
        <v>7</v>
      </c>
      <c r="K51" s="38">
        <v>8</v>
      </c>
      <c r="L51" s="67">
        <v>9</v>
      </c>
      <c r="M51" s="38">
        <v>10</v>
      </c>
      <c r="N51" s="67">
        <v>11</v>
      </c>
      <c r="O51" s="38">
        <v>12</v>
      </c>
      <c r="P51" s="38">
        <v>13</v>
      </c>
      <c r="Q51" s="67" t="s">
        <v>1</v>
      </c>
      <c r="R51" s="38" t="s">
        <v>2</v>
      </c>
      <c r="S51" s="38" t="s">
        <v>3</v>
      </c>
      <c r="T51" s="38" t="s">
        <v>4</v>
      </c>
      <c r="U51" s="207" t="s">
        <v>97</v>
      </c>
      <c r="V51" s="38" t="s">
        <v>5</v>
      </c>
      <c r="W51" s="38" t="s">
        <v>104</v>
      </c>
      <c r="X51" s="38" t="s">
        <v>98</v>
      </c>
      <c r="Y51" s="38" t="s">
        <v>6</v>
      </c>
      <c r="Z51" s="208" t="s">
        <v>99</v>
      </c>
    </row>
    <row r="52" spans="2:26" ht="15">
      <c r="B52" s="291">
        <v>1</v>
      </c>
      <c r="C52" s="336" t="s">
        <v>64</v>
      </c>
      <c r="D52" s="338"/>
      <c r="E52" s="294"/>
      <c r="F52" s="294"/>
      <c r="G52" s="339"/>
      <c r="H52" s="337"/>
      <c r="I52" s="292"/>
      <c r="J52" s="292"/>
      <c r="K52" s="292"/>
      <c r="L52" s="292"/>
      <c r="M52" s="292"/>
      <c r="N52" s="292"/>
      <c r="O52" s="292"/>
      <c r="P52" s="292"/>
      <c r="Q52" s="298">
        <v>12</v>
      </c>
      <c r="R52" s="292" t="s">
        <v>544</v>
      </c>
      <c r="S52" s="292" t="s">
        <v>140</v>
      </c>
      <c r="T52" s="292" t="s">
        <v>141</v>
      </c>
      <c r="U52" s="292" t="s">
        <v>556</v>
      </c>
      <c r="V52" s="298">
        <v>16</v>
      </c>
      <c r="W52" s="292"/>
      <c r="X52" s="298"/>
      <c r="Y52" s="292">
        <f>R52*2+S52</f>
        <v>19</v>
      </c>
      <c r="Z52" s="332">
        <v>8</v>
      </c>
    </row>
    <row r="53" spans="2:26" ht="15">
      <c r="B53" s="291">
        <v>2</v>
      </c>
      <c r="C53" s="336" t="s">
        <v>158</v>
      </c>
      <c r="D53" s="340"/>
      <c r="E53" s="333"/>
      <c r="F53" s="292"/>
      <c r="G53" s="341"/>
      <c r="H53" s="337"/>
      <c r="I53" s="292"/>
      <c r="J53" s="292"/>
      <c r="K53" s="292"/>
      <c r="L53" s="292"/>
      <c r="M53" s="292"/>
      <c r="N53" s="292"/>
      <c r="O53" s="292"/>
      <c r="P53" s="292"/>
      <c r="Q53" s="298">
        <v>12</v>
      </c>
      <c r="R53" s="292" t="s">
        <v>319</v>
      </c>
      <c r="S53" s="292" t="s">
        <v>141</v>
      </c>
      <c r="T53" s="292" t="s">
        <v>142</v>
      </c>
      <c r="U53" s="292" t="s">
        <v>557</v>
      </c>
      <c r="V53" s="298">
        <v>11</v>
      </c>
      <c r="W53" s="292"/>
      <c r="X53" s="298"/>
      <c r="Y53" s="292">
        <f aca="true" t="shared" si="1" ref="Y53:Y63">R53*2+S53</f>
        <v>16</v>
      </c>
      <c r="Z53" s="332">
        <v>8</v>
      </c>
    </row>
    <row r="54" spans="2:26" ht="15">
      <c r="B54" s="291">
        <v>3</v>
      </c>
      <c r="C54" s="336" t="s">
        <v>7</v>
      </c>
      <c r="D54" s="340"/>
      <c r="E54" s="292"/>
      <c r="F54" s="333"/>
      <c r="G54" s="341"/>
      <c r="H54" s="337"/>
      <c r="I54" s="292"/>
      <c r="J54" s="292"/>
      <c r="K54" s="292"/>
      <c r="L54" s="292"/>
      <c r="M54" s="292"/>
      <c r="N54" s="292"/>
      <c r="O54" s="292"/>
      <c r="P54" s="292"/>
      <c r="Q54" s="298">
        <v>12</v>
      </c>
      <c r="R54" s="292" t="s">
        <v>546</v>
      </c>
      <c r="S54" s="292" t="s">
        <v>140</v>
      </c>
      <c r="T54" s="292" t="s">
        <v>139</v>
      </c>
      <c r="U54" s="292" t="s">
        <v>558</v>
      </c>
      <c r="V54" s="298">
        <v>5</v>
      </c>
      <c r="W54" s="292"/>
      <c r="X54" s="298"/>
      <c r="Y54" s="292">
        <f t="shared" si="1"/>
        <v>13</v>
      </c>
      <c r="Z54" s="332">
        <v>8</v>
      </c>
    </row>
    <row r="55" spans="2:26" ht="15.75" thickBot="1">
      <c r="B55" s="291">
        <v>4</v>
      </c>
      <c r="C55" s="336" t="s">
        <v>88</v>
      </c>
      <c r="D55" s="342"/>
      <c r="E55" s="343"/>
      <c r="F55" s="343"/>
      <c r="G55" s="344"/>
      <c r="H55" s="337"/>
      <c r="I55" s="292"/>
      <c r="J55" s="292"/>
      <c r="K55" s="292"/>
      <c r="L55" s="292"/>
      <c r="M55" s="292"/>
      <c r="N55" s="292"/>
      <c r="O55" s="292"/>
      <c r="P55" s="292"/>
      <c r="Q55" s="298">
        <v>12</v>
      </c>
      <c r="R55" s="292" t="s">
        <v>139</v>
      </c>
      <c r="S55" s="292" t="s">
        <v>142</v>
      </c>
      <c r="T55" s="292" t="s">
        <v>145</v>
      </c>
      <c r="U55" s="292" t="s">
        <v>550</v>
      </c>
      <c r="V55" s="298">
        <v>5</v>
      </c>
      <c r="W55" s="292"/>
      <c r="X55" s="298"/>
      <c r="Y55" s="292">
        <f t="shared" si="1"/>
        <v>13</v>
      </c>
      <c r="Z55" s="332">
        <v>8</v>
      </c>
    </row>
    <row r="56" spans="2:26" ht="15">
      <c r="B56" s="54">
        <v>5</v>
      </c>
      <c r="C56" s="329" t="s">
        <v>168</v>
      </c>
      <c r="D56" s="178"/>
      <c r="E56" s="178"/>
      <c r="F56" s="178"/>
      <c r="G56" s="178"/>
      <c r="H56" s="333"/>
      <c r="I56" s="217"/>
      <c r="J56" s="49"/>
      <c r="K56" s="49"/>
      <c r="L56" s="49"/>
      <c r="M56" s="49"/>
      <c r="N56" s="59"/>
      <c r="O56" s="49"/>
      <c r="P56" s="49"/>
      <c r="Q56" s="59">
        <v>12</v>
      </c>
      <c r="R56" s="49" t="s">
        <v>546</v>
      </c>
      <c r="S56" s="49" t="s">
        <v>140</v>
      </c>
      <c r="T56" s="49" t="s">
        <v>139</v>
      </c>
      <c r="U56" s="49" t="s">
        <v>559</v>
      </c>
      <c r="V56" s="59">
        <v>3</v>
      </c>
      <c r="W56" s="49"/>
      <c r="X56" s="59"/>
      <c r="Y56" s="217">
        <f t="shared" si="1"/>
        <v>13</v>
      </c>
      <c r="Z56" s="209" t="s">
        <v>187</v>
      </c>
    </row>
    <row r="57" spans="2:26" ht="15">
      <c r="B57" s="54">
        <v>6</v>
      </c>
      <c r="C57" s="329" t="s">
        <v>125</v>
      </c>
      <c r="D57" s="49"/>
      <c r="E57" s="49"/>
      <c r="F57" s="49"/>
      <c r="G57" s="49"/>
      <c r="H57" s="49"/>
      <c r="I57" s="333"/>
      <c r="J57" s="49"/>
      <c r="K57" s="49"/>
      <c r="L57" s="49"/>
      <c r="M57" s="49"/>
      <c r="N57" s="59"/>
      <c r="O57" s="49"/>
      <c r="P57" s="49"/>
      <c r="Q57" s="59">
        <v>12</v>
      </c>
      <c r="R57" s="49" t="s">
        <v>546</v>
      </c>
      <c r="S57" s="49" t="s">
        <v>140</v>
      </c>
      <c r="T57" s="49" t="s">
        <v>139</v>
      </c>
      <c r="U57" s="49" t="s">
        <v>560</v>
      </c>
      <c r="V57" s="59">
        <v>-1</v>
      </c>
      <c r="W57" s="49"/>
      <c r="X57" s="59"/>
      <c r="Y57" s="217">
        <f t="shared" si="1"/>
        <v>13</v>
      </c>
      <c r="Z57" s="209" t="s">
        <v>188</v>
      </c>
    </row>
    <row r="58" spans="2:26" ht="15">
      <c r="B58" s="54">
        <v>7</v>
      </c>
      <c r="C58" s="329" t="s">
        <v>86</v>
      </c>
      <c r="D58" s="49"/>
      <c r="E58" s="49"/>
      <c r="F58" s="49"/>
      <c r="G58" s="49"/>
      <c r="H58" s="49"/>
      <c r="I58" s="49"/>
      <c r="J58" s="333"/>
      <c r="K58" s="49"/>
      <c r="L58" s="49"/>
      <c r="M58" s="49"/>
      <c r="N58" s="59"/>
      <c r="O58" s="49"/>
      <c r="P58" s="49"/>
      <c r="Q58" s="59">
        <v>12</v>
      </c>
      <c r="R58" s="49" t="s">
        <v>145</v>
      </c>
      <c r="S58" s="49" t="s">
        <v>142</v>
      </c>
      <c r="T58" s="49" t="s">
        <v>139</v>
      </c>
      <c r="U58" s="49" t="s">
        <v>170</v>
      </c>
      <c r="V58" s="59">
        <v>-3</v>
      </c>
      <c r="W58" s="49"/>
      <c r="X58" s="59"/>
      <c r="Y58" s="217">
        <f t="shared" si="1"/>
        <v>11</v>
      </c>
      <c r="Z58" s="209" t="s">
        <v>160</v>
      </c>
    </row>
    <row r="59" spans="1:26" s="194" customFormat="1" ht="15">
      <c r="A59" s="48"/>
      <c r="B59" s="54">
        <v>8</v>
      </c>
      <c r="C59" s="329" t="s">
        <v>134</v>
      </c>
      <c r="D59" s="49"/>
      <c r="E59" s="49"/>
      <c r="F59" s="49"/>
      <c r="G59" s="49"/>
      <c r="H59" s="49"/>
      <c r="I59" s="49"/>
      <c r="J59" s="49"/>
      <c r="K59" s="333"/>
      <c r="L59" s="49"/>
      <c r="M59" s="49"/>
      <c r="N59" s="59"/>
      <c r="O59" s="49"/>
      <c r="P59" s="49"/>
      <c r="Q59" s="59">
        <v>12</v>
      </c>
      <c r="R59" s="49" t="s">
        <v>139</v>
      </c>
      <c r="S59" s="49" t="s">
        <v>140</v>
      </c>
      <c r="T59" s="49" t="s">
        <v>546</v>
      </c>
      <c r="U59" s="49" t="s">
        <v>561</v>
      </c>
      <c r="V59" s="59">
        <v>-13</v>
      </c>
      <c r="W59" s="49"/>
      <c r="X59" s="59"/>
      <c r="Y59" s="217">
        <f t="shared" si="1"/>
        <v>11</v>
      </c>
      <c r="Z59" s="209" t="s">
        <v>189</v>
      </c>
    </row>
    <row r="60" spans="1:26" s="194" customFormat="1" ht="15">
      <c r="A60" s="48"/>
      <c r="B60" s="54">
        <v>9</v>
      </c>
      <c r="C60" s="329" t="s">
        <v>22</v>
      </c>
      <c r="D60" s="49"/>
      <c r="E60" s="49"/>
      <c r="F60" s="49"/>
      <c r="G60" s="49"/>
      <c r="H60" s="49"/>
      <c r="I60" s="49"/>
      <c r="J60" s="49"/>
      <c r="K60" s="49"/>
      <c r="L60" s="333"/>
      <c r="M60" s="49"/>
      <c r="N60" s="59"/>
      <c r="O60" s="49"/>
      <c r="P60" s="49"/>
      <c r="Q60" s="59">
        <v>12</v>
      </c>
      <c r="R60" s="49" t="s">
        <v>145</v>
      </c>
      <c r="S60" s="49" t="s">
        <v>141</v>
      </c>
      <c r="T60" s="49" t="s">
        <v>546</v>
      </c>
      <c r="U60" s="49" t="s">
        <v>562</v>
      </c>
      <c r="V60" s="59">
        <v>2</v>
      </c>
      <c r="W60" s="59"/>
      <c r="X60" s="59"/>
      <c r="Y60" s="217">
        <f t="shared" si="1"/>
        <v>10</v>
      </c>
      <c r="Z60" s="209" t="s">
        <v>186</v>
      </c>
    </row>
    <row r="61" spans="2:26" ht="15">
      <c r="B61" s="54">
        <v>10</v>
      </c>
      <c r="C61" s="329" t="s">
        <v>126</v>
      </c>
      <c r="D61" s="49"/>
      <c r="E61" s="49"/>
      <c r="F61" s="49"/>
      <c r="G61" s="49"/>
      <c r="H61" s="49"/>
      <c r="I61" s="49"/>
      <c r="J61" s="49"/>
      <c r="K61" s="49"/>
      <c r="L61" s="49"/>
      <c r="M61" s="333"/>
      <c r="N61" s="59"/>
      <c r="O61" s="49"/>
      <c r="P61" s="49"/>
      <c r="Q61" s="59">
        <v>12</v>
      </c>
      <c r="R61" s="49" t="s">
        <v>145</v>
      </c>
      <c r="S61" s="49" t="s">
        <v>141</v>
      </c>
      <c r="T61" s="49" t="s">
        <v>546</v>
      </c>
      <c r="U61" s="49" t="s">
        <v>563</v>
      </c>
      <c r="V61" s="59">
        <v>-4</v>
      </c>
      <c r="W61" s="49"/>
      <c r="X61" s="59"/>
      <c r="Y61" s="217">
        <f t="shared" si="1"/>
        <v>10</v>
      </c>
      <c r="Z61" s="209" t="s">
        <v>190</v>
      </c>
    </row>
    <row r="62" spans="2:26" ht="15">
      <c r="B62" s="54">
        <v>11</v>
      </c>
      <c r="C62" s="329" t="s">
        <v>8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334"/>
      <c r="O62" s="49"/>
      <c r="P62" s="49"/>
      <c r="Q62" s="59">
        <v>12</v>
      </c>
      <c r="R62" s="49" t="s">
        <v>145</v>
      </c>
      <c r="S62" s="49" t="s">
        <v>141</v>
      </c>
      <c r="T62" s="49" t="s">
        <v>546</v>
      </c>
      <c r="U62" s="49" t="s">
        <v>564</v>
      </c>
      <c r="V62" s="59">
        <v>-9</v>
      </c>
      <c r="W62" s="59"/>
      <c r="X62" s="59"/>
      <c r="Y62" s="217">
        <f t="shared" si="1"/>
        <v>10</v>
      </c>
      <c r="Z62" s="209" t="s">
        <v>209</v>
      </c>
    </row>
    <row r="63" spans="1:26" s="327" customFormat="1" ht="15">
      <c r="A63" s="48"/>
      <c r="B63" s="54">
        <v>12</v>
      </c>
      <c r="C63" s="329" t="s">
        <v>11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59"/>
      <c r="O63" s="333"/>
      <c r="P63" s="49"/>
      <c r="Q63" s="59">
        <v>12</v>
      </c>
      <c r="R63" s="49" t="s">
        <v>145</v>
      </c>
      <c r="S63" s="49" t="s">
        <v>140</v>
      </c>
      <c r="T63" s="49" t="s">
        <v>319</v>
      </c>
      <c r="U63" s="49" t="s">
        <v>120</v>
      </c>
      <c r="V63" s="59">
        <v>-5</v>
      </c>
      <c r="W63" s="59"/>
      <c r="X63" s="59"/>
      <c r="Y63" s="217">
        <f t="shared" si="1"/>
        <v>9</v>
      </c>
      <c r="Z63" s="209" t="s">
        <v>150</v>
      </c>
    </row>
    <row r="64" spans="1:26" s="327" customFormat="1" ht="15.75" thickBot="1">
      <c r="A64" s="48"/>
      <c r="B64" s="55">
        <v>13</v>
      </c>
      <c r="C64" s="331" t="s">
        <v>178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60"/>
      <c r="O64" s="50"/>
      <c r="P64" s="335"/>
      <c r="Q64" s="60">
        <v>12</v>
      </c>
      <c r="R64" s="50" t="s">
        <v>142</v>
      </c>
      <c r="S64" s="50" t="s">
        <v>141</v>
      </c>
      <c r="T64" s="50" t="s">
        <v>319</v>
      </c>
      <c r="U64" s="50" t="s">
        <v>94</v>
      </c>
      <c r="V64" s="60">
        <v>-7</v>
      </c>
      <c r="W64" s="60"/>
      <c r="X64" s="60"/>
      <c r="Y64" s="217">
        <f>R64*2+S64-W64</f>
        <v>8</v>
      </c>
      <c r="Z64" s="450" t="s">
        <v>323</v>
      </c>
    </row>
    <row r="65" spans="1:17" s="327" customFormat="1" ht="15">
      <c r="A65" s="48"/>
      <c r="B65" s="172"/>
      <c r="L65" s="51"/>
      <c r="Q65" s="51"/>
    </row>
    <row r="66" spans="1:17" s="327" customFormat="1" ht="15">
      <c r="A66" s="48"/>
      <c r="B66" s="172"/>
      <c r="C66" s="444"/>
      <c r="L66" s="51"/>
      <c r="Q66" s="51"/>
    </row>
    <row r="67" spans="2:32" ht="21.75" thickBot="1">
      <c r="B67" s="219"/>
      <c r="C67" s="150"/>
      <c r="D67" s="219"/>
      <c r="E67" s="219"/>
      <c r="F67" s="219"/>
      <c r="G67" s="219"/>
      <c r="H67" s="219"/>
      <c r="I67" s="219"/>
      <c r="J67" s="219"/>
      <c r="K67" s="219"/>
      <c r="M67" s="219"/>
      <c r="N67" s="474" t="s">
        <v>196</v>
      </c>
      <c r="O67" s="474"/>
      <c r="P67" s="474"/>
      <c r="Q67" s="474"/>
      <c r="R67" s="474"/>
      <c r="S67" s="474"/>
      <c r="T67" s="474"/>
      <c r="U67" s="474"/>
      <c r="V67" s="474"/>
      <c r="W67" s="474"/>
      <c r="X67" s="474" t="s">
        <v>197</v>
      </c>
      <c r="Y67" s="474"/>
      <c r="Z67" s="474"/>
      <c r="AA67" s="474"/>
      <c r="AB67" s="474"/>
      <c r="AC67" s="474"/>
      <c r="AD67" s="474"/>
      <c r="AE67" s="474"/>
      <c r="AF67" s="474"/>
    </row>
    <row r="68" spans="2:32" ht="15">
      <c r="B68" s="37" t="s">
        <v>0</v>
      </c>
      <c r="C68" s="245"/>
      <c r="D68" s="35">
        <v>1</v>
      </c>
      <c r="E68" s="36">
        <v>2</v>
      </c>
      <c r="F68" s="56">
        <v>3</v>
      </c>
      <c r="G68" s="36">
        <v>4</v>
      </c>
      <c r="H68" s="36">
        <v>5</v>
      </c>
      <c r="I68" s="36">
        <v>6</v>
      </c>
      <c r="J68" s="36">
        <v>7</v>
      </c>
      <c r="K68" s="36">
        <v>8</v>
      </c>
      <c r="L68" s="67"/>
      <c r="M68" s="212"/>
      <c r="N68" s="210" t="s">
        <v>1</v>
      </c>
      <c r="O68" s="38" t="s">
        <v>2</v>
      </c>
      <c r="P68" s="38" t="s">
        <v>3</v>
      </c>
      <c r="Q68" s="38" t="s">
        <v>4</v>
      </c>
      <c r="R68" s="207" t="s">
        <v>97</v>
      </c>
      <c r="S68" s="38" t="s">
        <v>5</v>
      </c>
      <c r="T68" s="38" t="s">
        <v>104</v>
      </c>
      <c r="U68" s="38" t="s">
        <v>98</v>
      </c>
      <c r="V68" s="38" t="s">
        <v>6</v>
      </c>
      <c r="W68" s="208" t="s">
        <v>99</v>
      </c>
      <c r="X68" s="210" t="s">
        <v>1</v>
      </c>
      <c r="Y68" s="38" t="s">
        <v>2</v>
      </c>
      <c r="Z68" s="38" t="s">
        <v>3</v>
      </c>
      <c r="AA68" s="38" t="s">
        <v>4</v>
      </c>
      <c r="AB68" s="207" t="s">
        <v>97</v>
      </c>
      <c r="AC68" s="38" t="s">
        <v>5</v>
      </c>
      <c r="AD68" s="38" t="s">
        <v>104</v>
      </c>
      <c r="AE68" s="38" t="s">
        <v>98</v>
      </c>
      <c r="AF68" s="38" t="s">
        <v>6</v>
      </c>
    </row>
    <row r="69" spans="2:32" ht="15">
      <c r="B69" s="239">
        <v>1</v>
      </c>
      <c r="C69" s="346" t="s">
        <v>63</v>
      </c>
      <c r="D69" s="246"/>
      <c r="E69" s="240"/>
      <c r="F69" s="240"/>
      <c r="G69" s="240"/>
      <c r="H69" s="240"/>
      <c r="I69" s="240"/>
      <c r="J69" s="240"/>
      <c r="K69" s="240"/>
      <c r="L69" s="240"/>
      <c r="M69" s="241"/>
      <c r="N69" s="242">
        <v>4</v>
      </c>
      <c r="O69" s="240" t="s">
        <v>142</v>
      </c>
      <c r="P69" s="240"/>
      <c r="Q69" s="240" t="s">
        <v>140</v>
      </c>
      <c r="R69" s="240"/>
      <c r="S69" s="243"/>
      <c r="T69" s="240"/>
      <c r="U69" s="240"/>
      <c r="V69" s="240">
        <f>O69*2+P69</f>
        <v>6</v>
      </c>
      <c r="W69" s="244">
        <v>1</v>
      </c>
      <c r="X69" s="242">
        <v>7</v>
      </c>
      <c r="Y69" s="240" t="s">
        <v>546</v>
      </c>
      <c r="Z69" s="240"/>
      <c r="AA69" s="240" t="s">
        <v>140</v>
      </c>
      <c r="AB69" s="240" t="s">
        <v>565</v>
      </c>
      <c r="AC69" s="243">
        <v>9</v>
      </c>
      <c r="AD69" s="240"/>
      <c r="AE69" s="240" t="s">
        <v>572</v>
      </c>
      <c r="AF69" s="240" t="s">
        <v>324</v>
      </c>
    </row>
    <row r="70" spans="2:32" ht="15">
      <c r="B70" s="213">
        <v>2</v>
      </c>
      <c r="C70" s="347" t="s">
        <v>7</v>
      </c>
      <c r="D70" s="168"/>
      <c r="E70" s="117"/>
      <c r="F70" s="354"/>
      <c r="G70" s="168"/>
      <c r="H70" s="354"/>
      <c r="I70" s="168"/>
      <c r="J70" s="354"/>
      <c r="K70" s="354"/>
      <c r="L70" s="168"/>
      <c r="M70" s="214"/>
      <c r="N70" s="215">
        <v>4</v>
      </c>
      <c r="O70" s="168" t="s">
        <v>141</v>
      </c>
      <c r="P70" s="168" t="s">
        <v>140</v>
      </c>
      <c r="Q70" s="168" t="s">
        <v>140</v>
      </c>
      <c r="R70" s="168"/>
      <c r="S70" s="169"/>
      <c r="T70" s="168"/>
      <c r="U70" s="168"/>
      <c r="V70" s="168">
        <f>O70*2+P70</f>
        <v>5</v>
      </c>
      <c r="W70" s="216">
        <v>2</v>
      </c>
      <c r="X70" s="215">
        <v>7</v>
      </c>
      <c r="Y70" s="168" t="s">
        <v>142</v>
      </c>
      <c r="Z70" s="168" t="s">
        <v>140</v>
      </c>
      <c r="AA70" s="168" t="s">
        <v>142</v>
      </c>
      <c r="AB70" s="168" t="s">
        <v>566</v>
      </c>
      <c r="AC70" s="169">
        <v>4</v>
      </c>
      <c r="AD70" s="168"/>
      <c r="AE70" s="168" t="s">
        <v>573</v>
      </c>
      <c r="AF70" s="168">
        <f>Y70*2+Z70</f>
        <v>7</v>
      </c>
    </row>
    <row r="71" spans="2:32" ht="15">
      <c r="B71" s="253">
        <v>3</v>
      </c>
      <c r="C71" s="345" t="s">
        <v>88</v>
      </c>
      <c r="D71" s="254"/>
      <c r="E71" s="355"/>
      <c r="F71" s="117"/>
      <c r="G71" s="355"/>
      <c r="H71" s="254"/>
      <c r="I71" s="254"/>
      <c r="J71" s="254"/>
      <c r="K71" s="254"/>
      <c r="L71" s="254"/>
      <c r="M71" s="255"/>
      <c r="N71" s="256">
        <v>4</v>
      </c>
      <c r="O71" s="254" t="s">
        <v>141</v>
      </c>
      <c r="P71" s="254" t="s">
        <v>140</v>
      </c>
      <c r="Q71" s="254" t="s">
        <v>140</v>
      </c>
      <c r="R71" s="254"/>
      <c r="S71" s="257"/>
      <c r="T71" s="254"/>
      <c r="U71" s="254"/>
      <c r="V71" s="254">
        <f>O71*2+P71</f>
        <v>5</v>
      </c>
      <c r="W71" s="258">
        <v>3</v>
      </c>
      <c r="X71" s="256">
        <v>7</v>
      </c>
      <c r="Y71" s="254" t="s">
        <v>141</v>
      </c>
      <c r="Z71" s="254" t="s">
        <v>142</v>
      </c>
      <c r="AA71" s="254" t="s">
        <v>141</v>
      </c>
      <c r="AB71" s="254" t="s">
        <v>567</v>
      </c>
      <c r="AC71" s="257">
        <v>1</v>
      </c>
      <c r="AD71" s="254"/>
      <c r="AE71" s="254" t="s">
        <v>574</v>
      </c>
      <c r="AF71" s="254">
        <f>Y71*2+Z71</f>
        <v>7</v>
      </c>
    </row>
    <row r="72" spans="2:32" ht="15">
      <c r="B72" s="247">
        <v>4</v>
      </c>
      <c r="C72" s="248" t="s">
        <v>128</v>
      </c>
      <c r="D72" s="217"/>
      <c r="E72" s="217"/>
      <c r="F72" s="356"/>
      <c r="G72" s="117"/>
      <c r="H72" s="356"/>
      <c r="I72" s="217"/>
      <c r="J72" s="356"/>
      <c r="K72" s="356"/>
      <c r="L72" s="217"/>
      <c r="M72" s="249"/>
      <c r="N72" s="250">
        <v>4</v>
      </c>
      <c r="O72" s="217" t="s">
        <v>141</v>
      </c>
      <c r="P72" s="217"/>
      <c r="Q72" s="217" t="s">
        <v>141</v>
      </c>
      <c r="R72" s="217"/>
      <c r="S72" s="251"/>
      <c r="T72" s="217"/>
      <c r="U72" s="217"/>
      <c r="V72" s="217">
        <f>O72*2+P72</f>
        <v>4</v>
      </c>
      <c r="W72" s="252">
        <v>4</v>
      </c>
      <c r="X72" s="250">
        <v>7</v>
      </c>
      <c r="Y72" s="217" t="s">
        <v>142</v>
      </c>
      <c r="Z72" s="217" t="s">
        <v>140</v>
      </c>
      <c r="AA72" s="217" t="s">
        <v>142</v>
      </c>
      <c r="AB72" s="217" t="s">
        <v>568</v>
      </c>
      <c r="AC72" s="251"/>
      <c r="AD72" s="217"/>
      <c r="AE72" s="217" t="s">
        <v>575</v>
      </c>
      <c r="AF72" s="217">
        <f>Y72*2+Z72</f>
        <v>7</v>
      </c>
    </row>
    <row r="73" spans="2:32" ht="15">
      <c r="B73" s="247">
        <v>5</v>
      </c>
      <c r="C73" s="248" t="s">
        <v>174</v>
      </c>
      <c r="D73" s="217"/>
      <c r="E73" s="356"/>
      <c r="F73" s="217"/>
      <c r="G73" s="356"/>
      <c r="H73" s="117"/>
      <c r="I73" s="217"/>
      <c r="J73" s="217"/>
      <c r="K73" s="217"/>
      <c r="L73" s="217"/>
      <c r="M73" s="249"/>
      <c r="N73" s="250">
        <v>4</v>
      </c>
      <c r="O73" s="217" t="s">
        <v>141</v>
      </c>
      <c r="P73" s="217" t="s">
        <v>140</v>
      </c>
      <c r="Q73" s="217" t="s">
        <v>140</v>
      </c>
      <c r="R73" s="217"/>
      <c r="S73" s="251"/>
      <c r="T73" s="217"/>
      <c r="U73" s="217"/>
      <c r="V73" s="217">
        <f>O73*2+P73</f>
        <v>5</v>
      </c>
      <c r="W73" s="252">
        <v>5</v>
      </c>
      <c r="X73" s="250">
        <v>7</v>
      </c>
      <c r="Y73" s="217" t="s">
        <v>142</v>
      </c>
      <c r="Z73" s="217" t="s">
        <v>140</v>
      </c>
      <c r="AA73" s="217" t="s">
        <v>142</v>
      </c>
      <c r="AB73" s="217" t="s">
        <v>569</v>
      </c>
      <c r="AC73" s="251">
        <v>-3</v>
      </c>
      <c r="AD73" s="217"/>
      <c r="AE73" s="217" t="s">
        <v>576</v>
      </c>
      <c r="AF73" s="217">
        <f>Y73*2+Z73</f>
        <v>7</v>
      </c>
    </row>
    <row r="74" spans="2:32" ht="15">
      <c r="B74" s="247">
        <v>6</v>
      </c>
      <c r="C74" s="248" t="s">
        <v>64</v>
      </c>
      <c r="D74" s="217"/>
      <c r="E74" s="217"/>
      <c r="F74" s="217"/>
      <c r="G74" s="49"/>
      <c r="H74" s="49"/>
      <c r="I74" s="117"/>
      <c r="J74" s="217"/>
      <c r="K74" s="217"/>
      <c r="L74" s="49"/>
      <c r="M74" s="209"/>
      <c r="N74" s="211">
        <v>4</v>
      </c>
      <c r="O74" s="49"/>
      <c r="P74" s="49" t="s">
        <v>140</v>
      </c>
      <c r="Q74" s="49" t="s">
        <v>142</v>
      </c>
      <c r="R74" s="49"/>
      <c r="S74" s="59"/>
      <c r="T74" s="49"/>
      <c r="U74" s="49"/>
      <c r="V74" s="217">
        <f>O74*2+P74</f>
        <v>1</v>
      </c>
      <c r="W74" s="252">
        <v>6</v>
      </c>
      <c r="X74" s="211">
        <v>7</v>
      </c>
      <c r="Y74" s="49" t="s">
        <v>141</v>
      </c>
      <c r="Z74" s="49" t="s">
        <v>141</v>
      </c>
      <c r="AA74" s="49" t="s">
        <v>142</v>
      </c>
      <c r="AB74" s="49" t="s">
        <v>75</v>
      </c>
      <c r="AC74" s="59">
        <v>-3</v>
      </c>
      <c r="AD74" s="49"/>
      <c r="AE74" s="49" t="s">
        <v>577</v>
      </c>
      <c r="AF74" s="217">
        <f>Y74*2+Z74</f>
        <v>6</v>
      </c>
    </row>
    <row r="75" spans="2:32" ht="15">
      <c r="B75" s="247">
        <v>7</v>
      </c>
      <c r="C75" s="248" t="s">
        <v>158</v>
      </c>
      <c r="D75" s="217"/>
      <c r="E75" s="356"/>
      <c r="F75" s="217"/>
      <c r="G75" s="357"/>
      <c r="H75" s="49"/>
      <c r="I75" s="217"/>
      <c r="J75" s="117"/>
      <c r="K75" s="217"/>
      <c r="L75" s="49"/>
      <c r="M75" s="209"/>
      <c r="N75" s="211">
        <v>4</v>
      </c>
      <c r="O75" s="49" t="s">
        <v>140</v>
      </c>
      <c r="P75" s="49"/>
      <c r="Q75" s="49" t="s">
        <v>142</v>
      </c>
      <c r="R75" s="49"/>
      <c r="S75" s="59"/>
      <c r="T75" s="49"/>
      <c r="U75" s="49"/>
      <c r="V75" s="217">
        <f>O75*2+P75</f>
        <v>2</v>
      </c>
      <c r="W75" s="252">
        <v>7</v>
      </c>
      <c r="X75" s="211">
        <v>7</v>
      </c>
      <c r="Y75" s="49" t="s">
        <v>141</v>
      </c>
      <c r="Z75" s="49" t="s">
        <v>140</v>
      </c>
      <c r="AA75" s="49" t="s">
        <v>145</v>
      </c>
      <c r="AB75" s="49" t="s">
        <v>570</v>
      </c>
      <c r="AC75" s="59">
        <v>-3</v>
      </c>
      <c r="AD75" s="49"/>
      <c r="AE75" s="49" t="s">
        <v>578</v>
      </c>
      <c r="AF75" s="217">
        <f>Y75*2+Z75</f>
        <v>5</v>
      </c>
    </row>
    <row r="76" spans="2:32" ht="15">
      <c r="B76" s="247">
        <v>8</v>
      </c>
      <c r="C76" s="248" t="s">
        <v>60</v>
      </c>
      <c r="D76" s="217"/>
      <c r="E76" s="356"/>
      <c r="F76" s="217"/>
      <c r="G76" s="357"/>
      <c r="H76" s="49"/>
      <c r="I76" s="217"/>
      <c r="J76" s="217"/>
      <c r="K76" s="117"/>
      <c r="L76" s="49"/>
      <c r="M76" s="209"/>
      <c r="N76" s="211">
        <v>4</v>
      </c>
      <c r="O76" s="49" t="s">
        <v>140</v>
      </c>
      <c r="P76" s="49" t="s">
        <v>141</v>
      </c>
      <c r="Q76" s="49" t="s">
        <v>140</v>
      </c>
      <c r="R76" s="49"/>
      <c r="S76" s="59"/>
      <c r="T76" s="59"/>
      <c r="U76" s="49"/>
      <c r="V76" s="217">
        <f>O76*2+P76-T76</f>
        <v>4</v>
      </c>
      <c r="W76" s="252">
        <v>8</v>
      </c>
      <c r="X76" s="211">
        <v>7</v>
      </c>
      <c r="Y76" s="49" t="s">
        <v>140</v>
      </c>
      <c r="Z76" s="49" t="s">
        <v>142</v>
      </c>
      <c r="AA76" s="49" t="s">
        <v>142</v>
      </c>
      <c r="AB76" s="49" t="s">
        <v>571</v>
      </c>
      <c r="AC76" s="59">
        <v>-5</v>
      </c>
      <c r="AD76" s="59"/>
      <c r="AE76" s="49" t="s">
        <v>579</v>
      </c>
      <c r="AF76" s="217">
        <f>Y76*2+Z76-AD76</f>
        <v>5</v>
      </c>
    </row>
  </sheetData>
  <sheetProtection/>
  <mergeCells count="4">
    <mergeCell ref="H2:I2"/>
    <mergeCell ref="E2:F2"/>
    <mergeCell ref="N67:W67"/>
    <mergeCell ref="X67:AF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C37">
      <selection activeCell="L54" sqref="L54"/>
    </sheetView>
  </sheetViews>
  <sheetFormatPr defaultColWidth="9.140625" defaultRowHeight="15"/>
  <cols>
    <col min="1" max="1" width="5.00390625" style="182" customWidth="1"/>
    <col min="2" max="2" width="35.140625" style="182" customWidth="1"/>
    <col min="3" max="6" width="7.57421875" style="182" customWidth="1"/>
    <col min="7" max="8" width="7.57421875" style="422" customWidth="1"/>
    <col min="9" max="10" width="7.57421875" style="182" customWidth="1"/>
    <col min="11" max="14" width="9.140625" style="182" customWidth="1"/>
    <col min="15" max="15" width="9.140625" style="31" customWidth="1"/>
    <col min="16" max="19" width="9.140625" style="1" customWidth="1"/>
    <col min="20" max="20" width="9.140625" style="45" customWidth="1"/>
    <col min="21" max="16384" width="9.140625" style="182" customWidth="1"/>
  </cols>
  <sheetData>
    <row r="1" ht="15" customHeight="1">
      <c r="B1" s="3" t="s">
        <v>173</v>
      </c>
    </row>
    <row r="2" ht="15.75" thickBot="1"/>
    <row r="3" spans="1:20" ht="15.75" customHeight="1" thickBot="1">
      <c r="A3" s="68" t="s">
        <v>0</v>
      </c>
      <c r="B3" s="69" t="s">
        <v>53</v>
      </c>
      <c r="C3" s="69">
        <v>1</v>
      </c>
      <c r="D3" s="69">
        <v>2</v>
      </c>
      <c r="E3" s="69">
        <v>3</v>
      </c>
      <c r="F3" s="69">
        <v>4</v>
      </c>
      <c r="G3" s="69">
        <v>5</v>
      </c>
      <c r="H3" s="69">
        <v>6</v>
      </c>
      <c r="I3" s="69">
        <v>7</v>
      </c>
      <c r="J3" s="69">
        <v>8</v>
      </c>
      <c r="K3" s="70" t="s">
        <v>1</v>
      </c>
      <c r="L3" s="69" t="s">
        <v>2</v>
      </c>
      <c r="M3" s="69" t="s">
        <v>3</v>
      </c>
      <c r="N3" s="69" t="s">
        <v>4</v>
      </c>
      <c r="O3" s="71" t="s">
        <v>97</v>
      </c>
      <c r="P3" s="69" t="s">
        <v>5</v>
      </c>
      <c r="Q3" s="69" t="s">
        <v>104</v>
      </c>
      <c r="R3" s="69" t="s">
        <v>98</v>
      </c>
      <c r="S3" s="72" t="s">
        <v>6</v>
      </c>
      <c r="T3" s="73" t="s">
        <v>99</v>
      </c>
    </row>
    <row r="4" spans="1:20" ht="15">
      <c r="A4" s="96">
        <v>1</v>
      </c>
      <c r="B4" s="105" t="s">
        <v>128</v>
      </c>
      <c r="C4" s="74"/>
      <c r="D4" s="98"/>
      <c r="E4" s="98"/>
      <c r="F4" s="98"/>
      <c r="G4" s="98"/>
      <c r="H4" s="98"/>
      <c r="I4" s="98"/>
      <c r="J4" s="98"/>
      <c r="K4" s="99">
        <v>7</v>
      </c>
      <c r="L4" s="100">
        <v>5</v>
      </c>
      <c r="M4" s="100"/>
      <c r="N4" s="100">
        <v>2</v>
      </c>
      <c r="O4" s="98" t="s">
        <v>520</v>
      </c>
      <c r="P4" s="98"/>
      <c r="Q4" s="100"/>
      <c r="R4" s="101">
        <v>286</v>
      </c>
      <c r="S4" s="102">
        <f>L4*2+M4</f>
        <v>10</v>
      </c>
      <c r="T4" s="103">
        <v>10</v>
      </c>
    </row>
    <row r="5" spans="1:20" ht="15" customHeight="1">
      <c r="A5" s="104">
        <v>2</v>
      </c>
      <c r="B5" s="115" t="s">
        <v>180</v>
      </c>
      <c r="C5" s="106"/>
      <c r="D5" s="74"/>
      <c r="E5" s="106"/>
      <c r="F5" s="106"/>
      <c r="G5" s="106"/>
      <c r="H5" s="106"/>
      <c r="I5" s="106"/>
      <c r="J5" s="106"/>
      <c r="K5" s="107">
        <v>7</v>
      </c>
      <c r="L5" s="108">
        <v>4</v>
      </c>
      <c r="M5" s="108"/>
      <c r="N5" s="108">
        <v>3</v>
      </c>
      <c r="O5" s="106" t="s">
        <v>521</v>
      </c>
      <c r="P5" s="106"/>
      <c r="Q5" s="108"/>
      <c r="R5" s="109">
        <v>256</v>
      </c>
      <c r="S5" s="110">
        <f>L5*2+M5</f>
        <v>8</v>
      </c>
      <c r="T5" s="111">
        <v>10</v>
      </c>
    </row>
    <row r="6" spans="1:20" ht="15" customHeight="1">
      <c r="A6" s="221">
        <v>3</v>
      </c>
      <c r="B6" s="222" t="s">
        <v>61</v>
      </c>
      <c r="C6" s="77"/>
      <c r="D6" s="77"/>
      <c r="E6" s="74"/>
      <c r="F6" s="77"/>
      <c r="G6" s="77"/>
      <c r="H6" s="77"/>
      <c r="I6" s="77"/>
      <c r="J6" s="77"/>
      <c r="K6" s="78">
        <v>7</v>
      </c>
      <c r="L6" s="223">
        <v>4</v>
      </c>
      <c r="M6" s="223"/>
      <c r="N6" s="223">
        <v>3</v>
      </c>
      <c r="O6" s="77" t="s">
        <v>522</v>
      </c>
      <c r="P6" s="77"/>
      <c r="Q6" s="223"/>
      <c r="R6" s="224">
        <v>236</v>
      </c>
      <c r="S6" s="82">
        <f>L6*2+M6</f>
        <v>8</v>
      </c>
      <c r="T6" s="201" t="s">
        <v>101</v>
      </c>
    </row>
    <row r="7" spans="1:20" ht="15" customHeight="1" thickBot="1">
      <c r="A7" s="75">
        <v>4</v>
      </c>
      <c r="B7" s="76" t="s">
        <v>62</v>
      </c>
      <c r="C7" s="77"/>
      <c r="D7" s="77"/>
      <c r="E7" s="77"/>
      <c r="F7" s="86"/>
      <c r="G7" s="446"/>
      <c r="H7" s="446"/>
      <c r="I7" s="77"/>
      <c r="J7" s="77"/>
      <c r="K7" s="78">
        <v>7</v>
      </c>
      <c r="L7" s="79">
        <v>4</v>
      </c>
      <c r="M7" s="79"/>
      <c r="N7" s="79">
        <v>3</v>
      </c>
      <c r="O7" s="80" t="s">
        <v>523</v>
      </c>
      <c r="P7" s="80"/>
      <c r="Q7" s="79"/>
      <c r="R7" s="81">
        <v>267</v>
      </c>
      <c r="S7" s="82">
        <f>L7*2+M7</f>
        <v>8</v>
      </c>
      <c r="T7" s="201" t="s">
        <v>102</v>
      </c>
    </row>
    <row r="8" spans="1:20" s="422" customFormat="1" ht="15" customHeight="1">
      <c r="A8" s="183">
        <v>5</v>
      </c>
      <c r="B8" s="184" t="s">
        <v>64</v>
      </c>
      <c r="C8" s="185"/>
      <c r="D8" s="185"/>
      <c r="E8" s="185"/>
      <c r="F8" s="446"/>
      <c r="G8" s="445"/>
      <c r="H8" s="446"/>
      <c r="I8" s="185"/>
      <c r="J8" s="77"/>
      <c r="K8" s="186">
        <v>7</v>
      </c>
      <c r="L8" s="187">
        <v>3</v>
      </c>
      <c r="M8" s="187"/>
      <c r="N8" s="187">
        <v>4</v>
      </c>
      <c r="O8" s="188" t="s">
        <v>524</v>
      </c>
      <c r="P8" s="188"/>
      <c r="Q8" s="187"/>
      <c r="R8" s="189">
        <v>254</v>
      </c>
      <c r="S8" s="82">
        <f>L8*2+M8</f>
        <v>6</v>
      </c>
      <c r="T8" s="202" t="s">
        <v>528</v>
      </c>
    </row>
    <row r="9" spans="1:20" s="422" customFormat="1" ht="15" customHeight="1">
      <c r="A9" s="183">
        <v>6</v>
      </c>
      <c r="B9" s="184" t="s">
        <v>174</v>
      </c>
      <c r="C9" s="185"/>
      <c r="D9" s="185"/>
      <c r="E9" s="185"/>
      <c r="F9" s="446"/>
      <c r="G9" s="446"/>
      <c r="H9" s="445"/>
      <c r="I9" s="185"/>
      <c r="J9" s="77"/>
      <c r="K9" s="186">
        <v>7</v>
      </c>
      <c r="L9" s="187">
        <v>3</v>
      </c>
      <c r="M9" s="187"/>
      <c r="N9" s="187">
        <v>4</v>
      </c>
      <c r="O9" s="188" t="s">
        <v>525</v>
      </c>
      <c r="P9" s="188"/>
      <c r="Q9" s="187"/>
      <c r="R9" s="189">
        <v>246</v>
      </c>
      <c r="S9" s="82">
        <f>L9*2+M9</f>
        <v>6</v>
      </c>
      <c r="T9" s="202" t="s">
        <v>543</v>
      </c>
    </row>
    <row r="10" spans="1:20" ht="15" customHeight="1" thickBot="1">
      <c r="A10" s="183">
        <v>7</v>
      </c>
      <c r="B10" s="184" t="s">
        <v>123</v>
      </c>
      <c r="C10" s="185"/>
      <c r="D10" s="185"/>
      <c r="E10" s="185"/>
      <c r="F10" s="185"/>
      <c r="G10" s="185"/>
      <c r="H10" s="185"/>
      <c r="I10" s="86"/>
      <c r="J10" s="77"/>
      <c r="K10" s="186">
        <v>7</v>
      </c>
      <c r="L10" s="187">
        <v>3</v>
      </c>
      <c r="M10" s="187"/>
      <c r="N10" s="187">
        <v>4</v>
      </c>
      <c r="O10" s="188" t="s">
        <v>526</v>
      </c>
      <c r="P10" s="188"/>
      <c r="Q10" s="187"/>
      <c r="R10" s="189">
        <v>247</v>
      </c>
      <c r="S10" s="82">
        <f>L10*2+M10</f>
        <v>6</v>
      </c>
      <c r="T10" s="202" t="s">
        <v>529</v>
      </c>
    </row>
    <row r="11" spans="1:20" ht="15" customHeight="1" thickBot="1">
      <c r="A11" s="83">
        <v>8</v>
      </c>
      <c r="B11" s="447" t="s">
        <v>14</v>
      </c>
      <c r="C11" s="85"/>
      <c r="D11" s="85"/>
      <c r="E11" s="85"/>
      <c r="F11" s="85"/>
      <c r="G11" s="85"/>
      <c r="H11" s="85"/>
      <c r="I11" s="85"/>
      <c r="J11" s="86"/>
      <c r="K11" s="87">
        <v>7</v>
      </c>
      <c r="L11" s="88">
        <v>2</v>
      </c>
      <c r="M11" s="88"/>
      <c r="N11" s="88">
        <v>5</v>
      </c>
      <c r="O11" s="89" t="s">
        <v>527</v>
      </c>
      <c r="P11" s="89"/>
      <c r="Q11" s="88"/>
      <c r="R11" s="90">
        <v>254</v>
      </c>
      <c r="S11" s="320">
        <f>L11*2+M11</f>
        <v>4</v>
      </c>
      <c r="T11" s="203" t="s">
        <v>530</v>
      </c>
    </row>
    <row r="12" ht="15" customHeight="1" thickBot="1"/>
    <row r="13" spans="1:20" s="422" customFormat="1" ht="15.75" customHeight="1" thickBot="1">
      <c r="A13" s="68" t="s">
        <v>0</v>
      </c>
      <c r="B13" s="69" t="s">
        <v>540</v>
      </c>
      <c r="C13" s="69">
        <v>1</v>
      </c>
      <c r="D13" s="69">
        <v>2</v>
      </c>
      <c r="E13" s="69">
        <v>3</v>
      </c>
      <c r="F13" s="69">
        <v>4</v>
      </c>
      <c r="G13" s="69">
        <v>5</v>
      </c>
      <c r="H13" s="69">
        <v>6</v>
      </c>
      <c r="I13" s="69">
        <v>7</v>
      </c>
      <c r="J13" s="69">
        <v>8</v>
      </c>
      <c r="K13" s="70" t="s">
        <v>1</v>
      </c>
      <c r="L13" s="69" t="s">
        <v>2</v>
      </c>
      <c r="M13" s="69" t="s">
        <v>3</v>
      </c>
      <c r="N13" s="69" t="s">
        <v>4</v>
      </c>
      <c r="O13" s="71" t="s">
        <v>97</v>
      </c>
      <c r="P13" s="69" t="s">
        <v>5</v>
      </c>
      <c r="Q13" s="69" t="s">
        <v>104</v>
      </c>
      <c r="R13" s="69" t="s">
        <v>98</v>
      </c>
      <c r="S13" s="72" t="s">
        <v>6</v>
      </c>
      <c r="T13" s="73" t="s">
        <v>99</v>
      </c>
    </row>
    <row r="14" spans="1:20" s="422" customFormat="1" ht="15">
      <c r="A14" s="96">
        <v>1</v>
      </c>
      <c r="B14" s="105" t="s">
        <v>63</v>
      </c>
      <c r="C14" s="74"/>
      <c r="D14" s="98"/>
      <c r="E14" s="98"/>
      <c r="F14" s="98"/>
      <c r="G14" s="98"/>
      <c r="H14" s="98"/>
      <c r="I14" s="98"/>
      <c r="J14" s="98"/>
      <c r="K14" s="99">
        <v>7</v>
      </c>
      <c r="L14" s="100">
        <v>5</v>
      </c>
      <c r="M14" s="100"/>
      <c r="N14" s="100">
        <v>2</v>
      </c>
      <c r="O14" s="98" t="s">
        <v>532</v>
      </c>
      <c r="P14" s="98"/>
      <c r="Q14" s="100"/>
      <c r="R14" s="101">
        <v>288</v>
      </c>
      <c r="S14" s="102">
        <f>L14*2+M14</f>
        <v>10</v>
      </c>
      <c r="T14" s="103">
        <v>10</v>
      </c>
    </row>
    <row r="15" spans="1:20" s="422" customFormat="1" ht="15" customHeight="1">
      <c r="A15" s="104">
        <v>2</v>
      </c>
      <c r="B15" s="115" t="s">
        <v>9</v>
      </c>
      <c r="C15" s="106"/>
      <c r="D15" s="74"/>
      <c r="E15" s="106"/>
      <c r="F15" s="106"/>
      <c r="G15" s="106"/>
      <c r="H15" s="106"/>
      <c r="I15" s="106"/>
      <c r="J15" s="106"/>
      <c r="K15" s="107">
        <v>7</v>
      </c>
      <c r="L15" s="108">
        <v>5</v>
      </c>
      <c r="M15" s="108"/>
      <c r="N15" s="108">
        <v>2</v>
      </c>
      <c r="O15" s="106" t="s">
        <v>533</v>
      </c>
      <c r="P15" s="106"/>
      <c r="Q15" s="108"/>
      <c r="R15" s="109">
        <v>265</v>
      </c>
      <c r="S15" s="110">
        <f>L15*2+M15</f>
        <v>10</v>
      </c>
      <c r="T15" s="111">
        <v>10</v>
      </c>
    </row>
    <row r="16" spans="1:20" s="422" customFormat="1" ht="15" customHeight="1">
      <c r="A16" s="221">
        <v>3</v>
      </c>
      <c r="B16" s="222" t="s">
        <v>132</v>
      </c>
      <c r="C16" s="77"/>
      <c r="D16" s="77"/>
      <c r="E16" s="74"/>
      <c r="F16" s="77"/>
      <c r="G16" s="77"/>
      <c r="H16" s="77"/>
      <c r="I16" s="77"/>
      <c r="J16" s="77"/>
      <c r="K16" s="78">
        <v>7</v>
      </c>
      <c r="L16" s="223">
        <v>4</v>
      </c>
      <c r="M16" s="223"/>
      <c r="N16" s="223">
        <v>3</v>
      </c>
      <c r="O16" s="77" t="s">
        <v>534</v>
      </c>
      <c r="P16" s="77"/>
      <c r="Q16" s="223"/>
      <c r="R16" s="224">
        <v>273</v>
      </c>
      <c r="S16" s="82">
        <f>L16*2+M16</f>
        <v>8</v>
      </c>
      <c r="T16" s="201" t="s">
        <v>101</v>
      </c>
    </row>
    <row r="17" spans="1:20" s="422" customFormat="1" ht="15" customHeight="1" thickBot="1">
      <c r="A17" s="75">
        <v>4</v>
      </c>
      <c r="B17" s="76" t="s">
        <v>60</v>
      </c>
      <c r="C17" s="77"/>
      <c r="D17" s="77"/>
      <c r="E17" s="77"/>
      <c r="F17" s="86"/>
      <c r="G17" s="446"/>
      <c r="H17" s="446"/>
      <c r="I17" s="77"/>
      <c r="J17" s="77"/>
      <c r="K17" s="78">
        <v>7</v>
      </c>
      <c r="L17" s="79">
        <v>4</v>
      </c>
      <c r="M17" s="79"/>
      <c r="N17" s="79">
        <v>3</v>
      </c>
      <c r="O17" s="80" t="s">
        <v>535</v>
      </c>
      <c r="P17" s="80"/>
      <c r="Q17" s="79"/>
      <c r="R17" s="81">
        <v>277</v>
      </c>
      <c r="S17" s="82">
        <f>L17*2+M17</f>
        <v>8</v>
      </c>
      <c r="T17" s="201" t="s">
        <v>102</v>
      </c>
    </row>
    <row r="18" spans="1:20" s="422" customFormat="1" ht="15" customHeight="1">
      <c r="A18" s="183">
        <v>5</v>
      </c>
      <c r="B18" s="184" t="s">
        <v>129</v>
      </c>
      <c r="C18" s="185"/>
      <c r="D18" s="185"/>
      <c r="E18" s="185"/>
      <c r="F18" s="446"/>
      <c r="G18" s="445"/>
      <c r="H18" s="446"/>
      <c r="I18" s="185"/>
      <c r="J18" s="77"/>
      <c r="K18" s="186">
        <v>7</v>
      </c>
      <c r="L18" s="187">
        <v>3</v>
      </c>
      <c r="M18" s="187">
        <v>1</v>
      </c>
      <c r="N18" s="187">
        <v>3</v>
      </c>
      <c r="O18" s="188" t="s">
        <v>536</v>
      </c>
      <c r="P18" s="188"/>
      <c r="Q18" s="187"/>
      <c r="R18" s="189">
        <v>261</v>
      </c>
      <c r="S18" s="82">
        <f>L18*2+M18</f>
        <v>7</v>
      </c>
      <c r="T18" s="202" t="s">
        <v>528</v>
      </c>
    </row>
    <row r="19" spans="1:20" s="422" customFormat="1" ht="15" customHeight="1">
      <c r="A19" s="183">
        <v>6</v>
      </c>
      <c r="B19" s="184" t="s">
        <v>158</v>
      </c>
      <c r="C19" s="185"/>
      <c r="D19" s="185"/>
      <c r="E19" s="185"/>
      <c r="F19" s="446"/>
      <c r="G19" s="446"/>
      <c r="H19" s="445"/>
      <c r="I19" s="185"/>
      <c r="J19" s="77"/>
      <c r="K19" s="186">
        <v>7</v>
      </c>
      <c r="L19" s="187">
        <v>3</v>
      </c>
      <c r="M19" s="187"/>
      <c r="N19" s="187">
        <v>4</v>
      </c>
      <c r="O19" s="188" t="s">
        <v>537</v>
      </c>
      <c r="P19" s="188"/>
      <c r="Q19" s="187"/>
      <c r="R19" s="189">
        <v>242</v>
      </c>
      <c r="S19" s="82">
        <f>L19*2+M19</f>
        <v>6</v>
      </c>
      <c r="T19" s="202" t="s">
        <v>543</v>
      </c>
    </row>
    <row r="20" spans="1:20" s="422" customFormat="1" ht="15" customHeight="1" thickBot="1">
      <c r="A20" s="183">
        <v>7</v>
      </c>
      <c r="B20" s="184" t="s">
        <v>531</v>
      </c>
      <c r="C20" s="185"/>
      <c r="D20" s="185"/>
      <c r="E20" s="185"/>
      <c r="F20" s="185"/>
      <c r="G20" s="185"/>
      <c r="H20" s="185"/>
      <c r="I20" s="86"/>
      <c r="J20" s="77"/>
      <c r="K20" s="186">
        <v>7</v>
      </c>
      <c r="L20" s="187">
        <v>2</v>
      </c>
      <c r="M20" s="187">
        <v>1</v>
      </c>
      <c r="N20" s="187">
        <v>4</v>
      </c>
      <c r="O20" s="188" t="s">
        <v>538</v>
      </c>
      <c r="P20" s="188"/>
      <c r="Q20" s="187"/>
      <c r="R20" s="189">
        <v>253</v>
      </c>
      <c r="S20" s="82">
        <f>L20*2+M20</f>
        <v>5</v>
      </c>
      <c r="T20" s="202" t="s">
        <v>529</v>
      </c>
    </row>
    <row r="21" spans="1:20" s="422" customFormat="1" ht="15" customHeight="1" thickBot="1">
      <c r="A21" s="83">
        <v>8</v>
      </c>
      <c r="B21" s="84" t="s">
        <v>66</v>
      </c>
      <c r="C21" s="85"/>
      <c r="D21" s="85"/>
      <c r="E21" s="85"/>
      <c r="F21" s="85"/>
      <c r="G21" s="85"/>
      <c r="H21" s="85"/>
      <c r="I21" s="85"/>
      <c r="J21" s="86"/>
      <c r="K21" s="87">
        <v>7</v>
      </c>
      <c r="L21" s="88">
        <v>1</v>
      </c>
      <c r="M21" s="88"/>
      <c r="N21" s="88">
        <v>6</v>
      </c>
      <c r="O21" s="89" t="s">
        <v>539</v>
      </c>
      <c r="P21" s="89"/>
      <c r="Q21" s="88"/>
      <c r="R21" s="90">
        <v>226</v>
      </c>
      <c r="S21" s="320">
        <f>L21*2+M21</f>
        <v>2</v>
      </c>
      <c r="T21" s="203" t="s">
        <v>530</v>
      </c>
    </row>
    <row r="22" spans="15:20" s="422" customFormat="1" ht="15" customHeight="1" thickBot="1">
      <c r="O22" s="31"/>
      <c r="P22" s="1"/>
      <c r="Q22" s="1"/>
      <c r="R22" s="1"/>
      <c r="S22" s="1"/>
      <c r="T22" s="45"/>
    </row>
    <row r="23" spans="1:20" s="422" customFormat="1" ht="15.75" customHeight="1" thickBot="1">
      <c r="A23" s="68" t="s">
        <v>0</v>
      </c>
      <c r="B23" s="69" t="s">
        <v>184</v>
      </c>
      <c r="C23" s="69">
        <v>1</v>
      </c>
      <c r="D23" s="69">
        <v>2</v>
      </c>
      <c r="E23" s="69">
        <v>3</v>
      </c>
      <c r="F23" s="69">
        <v>4</v>
      </c>
      <c r="G23" s="69">
        <v>5</v>
      </c>
      <c r="H23" s="69">
        <v>6</v>
      </c>
      <c r="I23" s="69">
        <v>7</v>
      </c>
      <c r="J23" s="69">
        <v>8</v>
      </c>
      <c r="K23" s="70" t="s">
        <v>1</v>
      </c>
      <c r="L23" s="69" t="s">
        <v>2</v>
      </c>
      <c r="M23" s="69" t="s">
        <v>3</v>
      </c>
      <c r="N23" s="69" t="s">
        <v>4</v>
      </c>
      <c r="O23" s="71" t="s">
        <v>97</v>
      </c>
      <c r="P23" s="69" t="s">
        <v>5</v>
      </c>
      <c r="Q23" s="69" t="s">
        <v>104</v>
      </c>
      <c r="R23" s="69" t="s">
        <v>98</v>
      </c>
      <c r="S23" s="72" t="s">
        <v>6</v>
      </c>
      <c r="T23" s="73" t="s">
        <v>99</v>
      </c>
    </row>
    <row r="24" spans="1:20" s="422" customFormat="1" ht="15">
      <c r="A24" s="96">
        <v>1</v>
      </c>
      <c r="B24" s="105" t="s">
        <v>201</v>
      </c>
      <c r="C24" s="74"/>
      <c r="D24" s="98"/>
      <c r="E24" s="98"/>
      <c r="F24" s="98"/>
      <c r="G24" s="98"/>
      <c r="H24" s="98"/>
      <c r="I24" s="98"/>
      <c r="J24" s="98"/>
      <c r="K24" s="99">
        <v>7</v>
      </c>
      <c r="L24" s="100">
        <v>6</v>
      </c>
      <c r="M24" s="100"/>
      <c r="N24" s="100">
        <v>1</v>
      </c>
      <c r="O24" s="98"/>
      <c r="P24" s="98"/>
      <c r="Q24" s="100"/>
      <c r="R24" s="101"/>
      <c r="S24" s="102">
        <f>L24*2+M24</f>
        <v>12</v>
      </c>
      <c r="T24" s="103">
        <v>10</v>
      </c>
    </row>
    <row r="25" spans="1:20" s="422" customFormat="1" ht="15" customHeight="1">
      <c r="A25" s="104">
        <v>2</v>
      </c>
      <c r="B25" s="115" t="s">
        <v>7</v>
      </c>
      <c r="C25" s="106"/>
      <c r="D25" s="74"/>
      <c r="E25" s="106"/>
      <c r="F25" s="106"/>
      <c r="G25" s="106"/>
      <c r="H25" s="106"/>
      <c r="I25" s="106"/>
      <c r="J25" s="106"/>
      <c r="K25" s="107">
        <v>7</v>
      </c>
      <c r="L25" s="108">
        <v>5</v>
      </c>
      <c r="M25" s="108"/>
      <c r="N25" s="108">
        <v>2</v>
      </c>
      <c r="O25" s="106"/>
      <c r="P25" s="106"/>
      <c r="Q25" s="108"/>
      <c r="R25" s="109"/>
      <c r="S25" s="110">
        <f>L25*2+M25</f>
        <v>10</v>
      </c>
      <c r="T25" s="111">
        <v>10</v>
      </c>
    </row>
    <row r="26" spans="1:20" s="422" customFormat="1" ht="15" customHeight="1">
      <c r="A26" s="221">
        <v>3</v>
      </c>
      <c r="B26" s="222" t="s">
        <v>168</v>
      </c>
      <c r="C26" s="77"/>
      <c r="D26" s="77"/>
      <c r="E26" s="74"/>
      <c r="F26" s="77"/>
      <c r="G26" s="77"/>
      <c r="H26" s="77"/>
      <c r="I26" s="77"/>
      <c r="J26" s="77"/>
      <c r="K26" s="78">
        <v>7</v>
      </c>
      <c r="L26" s="223">
        <v>4</v>
      </c>
      <c r="M26" s="223">
        <v>1</v>
      </c>
      <c r="N26" s="223">
        <v>2</v>
      </c>
      <c r="O26" s="77"/>
      <c r="P26" s="77"/>
      <c r="Q26" s="223"/>
      <c r="R26" s="224"/>
      <c r="S26" s="82">
        <f>L26*2+M26</f>
        <v>9</v>
      </c>
      <c r="T26" s="201" t="s">
        <v>101</v>
      </c>
    </row>
    <row r="27" spans="1:20" s="422" customFormat="1" ht="15" customHeight="1" thickBot="1">
      <c r="A27" s="75">
        <v>4</v>
      </c>
      <c r="B27" s="76" t="s">
        <v>200</v>
      </c>
      <c r="C27" s="77"/>
      <c r="D27" s="77"/>
      <c r="E27" s="77"/>
      <c r="F27" s="86"/>
      <c r="G27" s="446"/>
      <c r="H27" s="446"/>
      <c r="I27" s="77"/>
      <c r="J27" s="77"/>
      <c r="K27" s="78">
        <v>7</v>
      </c>
      <c r="L27" s="79">
        <v>4</v>
      </c>
      <c r="M27" s="79"/>
      <c r="N27" s="79">
        <v>3</v>
      </c>
      <c r="O27" s="80"/>
      <c r="P27" s="80"/>
      <c r="Q27" s="79"/>
      <c r="R27" s="81"/>
      <c r="S27" s="82">
        <f>L27*2+M27</f>
        <v>8</v>
      </c>
      <c r="T27" s="201" t="s">
        <v>102</v>
      </c>
    </row>
    <row r="28" spans="1:20" s="422" customFormat="1" ht="15" customHeight="1">
      <c r="A28" s="183">
        <v>5</v>
      </c>
      <c r="B28" s="184" t="s">
        <v>134</v>
      </c>
      <c r="C28" s="185"/>
      <c r="D28" s="185"/>
      <c r="E28" s="185"/>
      <c r="F28" s="446"/>
      <c r="G28" s="445"/>
      <c r="H28" s="446"/>
      <c r="I28" s="185"/>
      <c r="J28" s="77"/>
      <c r="K28" s="186">
        <v>7</v>
      </c>
      <c r="L28" s="187">
        <v>4</v>
      </c>
      <c r="M28" s="187"/>
      <c r="N28" s="187">
        <v>3</v>
      </c>
      <c r="O28" s="188"/>
      <c r="P28" s="188"/>
      <c r="Q28" s="187"/>
      <c r="R28" s="189"/>
      <c r="S28" s="82">
        <f>L28*2+M28</f>
        <v>8</v>
      </c>
      <c r="T28" s="202" t="s">
        <v>528</v>
      </c>
    </row>
    <row r="29" spans="1:20" s="422" customFormat="1" ht="15" customHeight="1">
      <c r="A29" s="183">
        <v>6</v>
      </c>
      <c r="B29" s="184" t="s">
        <v>126</v>
      </c>
      <c r="C29" s="185"/>
      <c r="D29" s="185"/>
      <c r="E29" s="185"/>
      <c r="F29" s="446"/>
      <c r="G29" s="446"/>
      <c r="H29" s="445"/>
      <c r="I29" s="185"/>
      <c r="J29" s="77"/>
      <c r="K29" s="186">
        <v>7</v>
      </c>
      <c r="L29" s="187">
        <v>2</v>
      </c>
      <c r="M29" s="187"/>
      <c r="N29" s="187">
        <v>5</v>
      </c>
      <c r="O29" s="188"/>
      <c r="P29" s="188"/>
      <c r="Q29" s="187"/>
      <c r="R29" s="189"/>
      <c r="S29" s="82">
        <f>L29*2+M29</f>
        <v>4</v>
      </c>
      <c r="T29" s="202" t="s">
        <v>543</v>
      </c>
    </row>
    <row r="30" spans="1:20" s="422" customFormat="1" ht="15" customHeight="1" thickBot="1">
      <c r="A30" s="183">
        <v>7</v>
      </c>
      <c r="B30" s="184" t="s">
        <v>13</v>
      </c>
      <c r="C30" s="185"/>
      <c r="D30" s="185"/>
      <c r="E30" s="185"/>
      <c r="F30" s="185"/>
      <c r="G30" s="185"/>
      <c r="H30" s="185"/>
      <c r="I30" s="86"/>
      <c r="J30" s="77"/>
      <c r="K30" s="186">
        <v>7</v>
      </c>
      <c r="L30" s="187">
        <v>1</v>
      </c>
      <c r="M30" s="187">
        <v>1</v>
      </c>
      <c r="N30" s="187">
        <v>5</v>
      </c>
      <c r="O30" s="188"/>
      <c r="P30" s="188"/>
      <c r="Q30" s="187"/>
      <c r="R30" s="189"/>
      <c r="S30" s="82">
        <f>L30*2+M30</f>
        <v>3</v>
      </c>
      <c r="T30" s="202" t="s">
        <v>529</v>
      </c>
    </row>
    <row r="31" spans="1:20" s="422" customFormat="1" ht="15" customHeight="1" thickBot="1">
      <c r="A31" s="83">
        <v>8</v>
      </c>
      <c r="B31" s="84" t="s">
        <v>177</v>
      </c>
      <c r="C31" s="85"/>
      <c r="D31" s="85"/>
      <c r="E31" s="85"/>
      <c r="F31" s="85"/>
      <c r="G31" s="85"/>
      <c r="H31" s="85"/>
      <c r="I31" s="85"/>
      <c r="J31" s="86"/>
      <c r="K31" s="87">
        <v>7</v>
      </c>
      <c r="L31" s="88">
        <v>1</v>
      </c>
      <c r="M31" s="88"/>
      <c r="N31" s="88">
        <v>6</v>
      </c>
      <c r="O31" s="89"/>
      <c r="P31" s="89"/>
      <c r="Q31" s="88"/>
      <c r="R31" s="90"/>
      <c r="S31" s="320">
        <f>L31*2+M31</f>
        <v>2</v>
      </c>
      <c r="T31" s="203" t="s">
        <v>530</v>
      </c>
    </row>
    <row r="32" spans="15:20" s="422" customFormat="1" ht="15" customHeight="1" thickBot="1">
      <c r="O32" s="31"/>
      <c r="P32" s="1"/>
      <c r="Q32" s="1"/>
      <c r="R32" s="1"/>
      <c r="S32" s="1"/>
      <c r="T32" s="45"/>
    </row>
    <row r="33" spans="1:20" s="422" customFormat="1" ht="15.75" customHeight="1" thickBot="1">
      <c r="A33" s="68" t="s">
        <v>0</v>
      </c>
      <c r="B33" s="69" t="s">
        <v>59</v>
      </c>
      <c r="C33" s="69">
        <v>1</v>
      </c>
      <c r="D33" s="69">
        <v>2</v>
      </c>
      <c r="E33" s="69">
        <v>3</v>
      </c>
      <c r="F33" s="69">
        <v>4</v>
      </c>
      <c r="G33" s="69">
        <v>5</v>
      </c>
      <c r="H33" s="69">
        <v>6</v>
      </c>
      <c r="I33" s="69">
        <v>7</v>
      </c>
      <c r="J33" s="69">
        <v>8</v>
      </c>
      <c r="K33" s="70" t="s">
        <v>1</v>
      </c>
      <c r="L33" s="69" t="s">
        <v>2</v>
      </c>
      <c r="M33" s="69" t="s">
        <v>3</v>
      </c>
      <c r="N33" s="69" t="s">
        <v>4</v>
      </c>
      <c r="O33" s="71" t="s">
        <v>97</v>
      </c>
      <c r="P33" s="69" t="s">
        <v>5</v>
      </c>
      <c r="Q33" s="69" t="s">
        <v>104</v>
      </c>
      <c r="R33" s="69" t="s">
        <v>98</v>
      </c>
      <c r="S33" s="72" t="s">
        <v>6</v>
      </c>
      <c r="T33" s="73" t="s">
        <v>99</v>
      </c>
    </row>
    <row r="34" spans="1:20" s="422" customFormat="1" ht="15">
      <c r="A34" s="96">
        <v>1</v>
      </c>
      <c r="B34" s="105" t="s">
        <v>8</v>
      </c>
      <c r="C34" s="74"/>
      <c r="D34" s="98"/>
      <c r="E34" s="98"/>
      <c r="F34" s="98"/>
      <c r="G34" s="98"/>
      <c r="H34" s="98"/>
      <c r="I34" s="98"/>
      <c r="J34" s="98"/>
      <c r="K34" s="99">
        <v>7</v>
      </c>
      <c r="L34" s="100">
        <v>7</v>
      </c>
      <c r="M34" s="100"/>
      <c r="N34" s="100"/>
      <c r="O34" s="98"/>
      <c r="P34" s="98"/>
      <c r="Q34" s="100"/>
      <c r="R34" s="101"/>
      <c r="S34" s="102">
        <f>L34*2+M34</f>
        <v>14</v>
      </c>
      <c r="T34" s="103">
        <v>10</v>
      </c>
    </row>
    <row r="35" spans="1:20" s="422" customFormat="1" ht="15" customHeight="1">
      <c r="A35" s="104">
        <v>2</v>
      </c>
      <c r="B35" s="115" t="s">
        <v>22</v>
      </c>
      <c r="C35" s="106"/>
      <c r="D35" s="74"/>
      <c r="E35" s="106"/>
      <c r="F35" s="106"/>
      <c r="G35" s="106"/>
      <c r="H35" s="106"/>
      <c r="I35" s="106"/>
      <c r="J35" s="106"/>
      <c r="K35" s="107">
        <v>7</v>
      </c>
      <c r="L35" s="108">
        <v>5</v>
      </c>
      <c r="M35" s="108">
        <v>1</v>
      </c>
      <c r="N35" s="108">
        <v>1</v>
      </c>
      <c r="O35" s="106"/>
      <c r="P35" s="106"/>
      <c r="Q35" s="108"/>
      <c r="R35" s="109"/>
      <c r="S35" s="110">
        <f>L35*2+M35</f>
        <v>11</v>
      </c>
      <c r="T35" s="111">
        <v>10</v>
      </c>
    </row>
    <row r="36" spans="1:20" s="422" customFormat="1" ht="15" customHeight="1">
      <c r="A36" s="221">
        <v>3</v>
      </c>
      <c r="B36" s="222" t="s">
        <v>83</v>
      </c>
      <c r="C36" s="77"/>
      <c r="D36" s="77"/>
      <c r="E36" s="74"/>
      <c r="F36" s="77"/>
      <c r="G36" s="77"/>
      <c r="H36" s="77"/>
      <c r="I36" s="77"/>
      <c r="J36" s="77"/>
      <c r="K36" s="78">
        <v>7</v>
      </c>
      <c r="L36" s="223">
        <v>3</v>
      </c>
      <c r="M36" s="223">
        <v>2</v>
      </c>
      <c r="N36" s="223">
        <v>2</v>
      </c>
      <c r="O36" s="77"/>
      <c r="P36" s="77"/>
      <c r="Q36" s="223"/>
      <c r="R36" s="224"/>
      <c r="S36" s="82">
        <f>L36*2+M36</f>
        <v>8</v>
      </c>
      <c r="T36" s="201" t="s">
        <v>101</v>
      </c>
    </row>
    <row r="37" spans="1:20" s="422" customFormat="1" ht="15" customHeight="1" thickBot="1">
      <c r="A37" s="75">
        <v>4</v>
      </c>
      <c r="B37" s="76" t="s">
        <v>178</v>
      </c>
      <c r="C37" s="77"/>
      <c r="D37" s="77"/>
      <c r="E37" s="77"/>
      <c r="F37" s="86"/>
      <c r="G37" s="446"/>
      <c r="H37" s="446"/>
      <c r="I37" s="77"/>
      <c r="J37" s="77"/>
      <c r="K37" s="78">
        <v>7</v>
      </c>
      <c r="L37" s="79">
        <v>3</v>
      </c>
      <c r="M37" s="79">
        <v>1</v>
      </c>
      <c r="N37" s="79">
        <v>3</v>
      </c>
      <c r="O37" s="80"/>
      <c r="P37" s="80"/>
      <c r="Q37" s="79"/>
      <c r="R37" s="81"/>
      <c r="S37" s="82">
        <f>L37*2+M37</f>
        <v>7</v>
      </c>
      <c r="T37" s="201" t="s">
        <v>102</v>
      </c>
    </row>
    <row r="38" spans="1:20" s="422" customFormat="1" ht="15" customHeight="1">
      <c r="A38" s="183">
        <v>5</v>
      </c>
      <c r="B38" s="184" t="s">
        <v>86</v>
      </c>
      <c r="C38" s="185"/>
      <c r="D38" s="185"/>
      <c r="E38" s="185"/>
      <c r="F38" s="446"/>
      <c r="G38" s="445"/>
      <c r="H38" s="446"/>
      <c r="I38" s="185"/>
      <c r="J38" s="77"/>
      <c r="K38" s="186">
        <v>7</v>
      </c>
      <c r="L38" s="187">
        <v>3</v>
      </c>
      <c r="M38" s="187">
        <v>1</v>
      </c>
      <c r="N38" s="187">
        <v>3</v>
      </c>
      <c r="O38" s="188"/>
      <c r="P38" s="188"/>
      <c r="Q38" s="187"/>
      <c r="R38" s="189"/>
      <c r="S38" s="82">
        <f>L38*2+M38</f>
        <v>7</v>
      </c>
      <c r="T38" s="202" t="s">
        <v>528</v>
      </c>
    </row>
    <row r="39" spans="1:20" s="422" customFormat="1" ht="15" customHeight="1">
      <c r="A39" s="183">
        <v>6</v>
      </c>
      <c r="B39" s="184" t="s">
        <v>11</v>
      </c>
      <c r="C39" s="185"/>
      <c r="D39" s="185"/>
      <c r="E39" s="185"/>
      <c r="F39" s="446"/>
      <c r="G39" s="446"/>
      <c r="H39" s="445"/>
      <c r="I39" s="185"/>
      <c r="J39" s="77"/>
      <c r="K39" s="186">
        <v>7</v>
      </c>
      <c r="L39" s="187">
        <v>2</v>
      </c>
      <c r="M39" s="187"/>
      <c r="N39" s="187">
        <v>5</v>
      </c>
      <c r="O39" s="188"/>
      <c r="P39" s="188"/>
      <c r="Q39" s="187"/>
      <c r="R39" s="189"/>
      <c r="S39" s="82">
        <f>L39*2+M39</f>
        <v>4</v>
      </c>
      <c r="T39" s="202" t="s">
        <v>543</v>
      </c>
    </row>
    <row r="40" spans="1:20" s="422" customFormat="1" ht="15" customHeight="1" thickBot="1">
      <c r="A40" s="183">
        <v>7</v>
      </c>
      <c r="B40" s="184" t="s">
        <v>507</v>
      </c>
      <c r="C40" s="185"/>
      <c r="D40" s="185"/>
      <c r="E40" s="185"/>
      <c r="F40" s="185"/>
      <c r="G40" s="185"/>
      <c r="H40" s="185"/>
      <c r="I40" s="86"/>
      <c r="J40" s="77"/>
      <c r="K40" s="186">
        <v>7</v>
      </c>
      <c r="L40" s="187">
        <v>1</v>
      </c>
      <c r="M40" s="187">
        <v>1</v>
      </c>
      <c r="N40" s="187">
        <v>5</v>
      </c>
      <c r="O40" s="188"/>
      <c r="P40" s="188"/>
      <c r="Q40" s="187"/>
      <c r="R40" s="189"/>
      <c r="S40" s="82">
        <f>L40*2+M40</f>
        <v>3</v>
      </c>
      <c r="T40" s="202" t="s">
        <v>529</v>
      </c>
    </row>
    <row r="41" spans="1:20" s="422" customFormat="1" ht="15" customHeight="1" thickBot="1">
      <c r="A41" s="83">
        <v>8</v>
      </c>
      <c r="B41" s="84" t="s">
        <v>541</v>
      </c>
      <c r="C41" s="85"/>
      <c r="D41" s="85"/>
      <c r="E41" s="85"/>
      <c r="F41" s="85"/>
      <c r="G41" s="85"/>
      <c r="H41" s="85"/>
      <c r="I41" s="85"/>
      <c r="J41" s="86"/>
      <c r="K41" s="87">
        <v>7</v>
      </c>
      <c r="L41" s="88">
        <v>1</v>
      </c>
      <c r="M41" s="88"/>
      <c r="N41" s="88">
        <v>6</v>
      </c>
      <c r="O41" s="89"/>
      <c r="P41" s="89"/>
      <c r="Q41" s="88"/>
      <c r="R41" s="90"/>
      <c r="S41" s="320">
        <f>L41*2+M41</f>
        <v>2</v>
      </c>
      <c r="T41" s="203" t="s">
        <v>530</v>
      </c>
    </row>
    <row r="42" spans="12:20" s="422" customFormat="1" ht="15" customHeight="1" thickBot="1">
      <c r="L42" s="448"/>
      <c r="O42" s="31"/>
      <c r="P42" s="1"/>
      <c r="Q42" s="1"/>
      <c r="R42" s="1"/>
      <c r="S42" s="1">
        <f>L42*2+M42</f>
        <v>0</v>
      </c>
      <c r="T42" s="45"/>
    </row>
    <row r="43" spans="1:20" s="422" customFormat="1" ht="15.75" customHeight="1" thickBot="1">
      <c r="A43" s="68" t="s">
        <v>0</v>
      </c>
      <c r="B43" s="69" t="s">
        <v>185</v>
      </c>
      <c r="C43" s="69">
        <v>1</v>
      </c>
      <c r="D43" s="69">
        <v>2</v>
      </c>
      <c r="E43" s="69">
        <v>3</v>
      </c>
      <c r="F43" s="69">
        <v>4</v>
      </c>
      <c r="G43" s="69">
        <v>5</v>
      </c>
      <c r="H43" s="69">
        <v>6</v>
      </c>
      <c r="I43" s="69">
        <v>7</v>
      </c>
      <c r="J43" s="69">
        <v>8</v>
      </c>
      <c r="K43" s="70" t="s">
        <v>1</v>
      </c>
      <c r="L43" s="69" t="s">
        <v>2</v>
      </c>
      <c r="M43" s="69" t="s">
        <v>3</v>
      </c>
      <c r="N43" s="69" t="s">
        <v>4</v>
      </c>
      <c r="O43" s="71" t="s">
        <v>97</v>
      </c>
      <c r="P43" s="69" t="s">
        <v>5</v>
      </c>
      <c r="Q43" s="69" t="s">
        <v>104</v>
      </c>
      <c r="R43" s="69" t="s">
        <v>98</v>
      </c>
      <c r="S43" s="72" t="s">
        <v>6</v>
      </c>
      <c r="T43" s="73" t="s">
        <v>99</v>
      </c>
    </row>
    <row r="44" spans="1:20" s="422" customFormat="1" ht="15">
      <c r="A44" s="96">
        <v>1</v>
      </c>
      <c r="B44" s="105" t="s">
        <v>124</v>
      </c>
      <c r="C44" s="74"/>
      <c r="D44" s="98"/>
      <c r="E44" s="98"/>
      <c r="F44" s="98"/>
      <c r="G44" s="98"/>
      <c r="H44" s="98"/>
      <c r="I44" s="98"/>
      <c r="J44" s="98"/>
      <c r="K44" s="99">
        <v>7</v>
      </c>
      <c r="L44" s="100">
        <v>6</v>
      </c>
      <c r="M44" s="100"/>
      <c r="N44" s="100">
        <v>1</v>
      </c>
      <c r="O44" s="98"/>
      <c r="P44" s="98"/>
      <c r="Q44" s="100"/>
      <c r="R44" s="101"/>
      <c r="S44" s="102">
        <f>L44*2+M44</f>
        <v>12</v>
      </c>
      <c r="T44" s="103">
        <v>10</v>
      </c>
    </row>
    <row r="45" spans="1:20" s="422" customFormat="1" ht="15" customHeight="1">
      <c r="A45" s="104">
        <v>2</v>
      </c>
      <c r="B45" s="115" t="s">
        <v>67</v>
      </c>
      <c r="C45" s="106"/>
      <c r="D45" s="74"/>
      <c r="E45" s="106"/>
      <c r="F45" s="106"/>
      <c r="G45" s="106"/>
      <c r="H45" s="106"/>
      <c r="I45" s="106"/>
      <c r="J45" s="106"/>
      <c r="K45" s="107">
        <v>7</v>
      </c>
      <c r="L45" s="108">
        <v>6</v>
      </c>
      <c r="M45" s="108"/>
      <c r="N45" s="108">
        <v>1</v>
      </c>
      <c r="O45" s="106"/>
      <c r="P45" s="106"/>
      <c r="Q45" s="108"/>
      <c r="R45" s="109"/>
      <c r="S45" s="110">
        <f>L45*2+M45</f>
        <v>12</v>
      </c>
      <c r="T45" s="111">
        <v>10</v>
      </c>
    </row>
    <row r="46" spans="1:20" s="422" customFormat="1" ht="15" customHeight="1">
      <c r="A46" s="221">
        <v>3</v>
      </c>
      <c r="B46" s="222" t="s">
        <v>125</v>
      </c>
      <c r="C46" s="77"/>
      <c r="D46" s="77"/>
      <c r="E46" s="74"/>
      <c r="F46" s="77"/>
      <c r="G46" s="77"/>
      <c r="H46" s="77"/>
      <c r="I46" s="77"/>
      <c r="J46" s="77"/>
      <c r="K46" s="78">
        <v>7</v>
      </c>
      <c r="L46" s="223">
        <v>4</v>
      </c>
      <c r="M46" s="223"/>
      <c r="N46" s="223">
        <v>3</v>
      </c>
      <c r="O46" s="77"/>
      <c r="P46" s="77"/>
      <c r="Q46" s="223"/>
      <c r="R46" s="224"/>
      <c r="S46" s="82">
        <f>L46*2+M46</f>
        <v>8</v>
      </c>
      <c r="T46" s="201" t="s">
        <v>101</v>
      </c>
    </row>
    <row r="47" spans="1:20" s="422" customFormat="1" ht="15" customHeight="1" thickBot="1">
      <c r="A47" s="75">
        <v>4</v>
      </c>
      <c r="B47" s="76" t="s">
        <v>12</v>
      </c>
      <c r="C47" s="77"/>
      <c r="D47" s="77"/>
      <c r="E47" s="77"/>
      <c r="F47" s="86"/>
      <c r="G47" s="446"/>
      <c r="H47" s="446"/>
      <c r="I47" s="77"/>
      <c r="J47" s="77"/>
      <c r="K47" s="78">
        <v>7</v>
      </c>
      <c r="L47" s="79">
        <v>3</v>
      </c>
      <c r="M47" s="79">
        <v>1</v>
      </c>
      <c r="N47" s="79">
        <v>3</v>
      </c>
      <c r="O47" s="80"/>
      <c r="P47" s="80"/>
      <c r="Q47" s="79"/>
      <c r="R47" s="81"/>
      <c r="S47" s="82">
        <f>L47*2+M47</f>
        <v>7</v>
      </c>
      <c r="T47" s="201" t="s">
        <v>102</v>
      </c>
    </row>
    <row r="48" spans="1:20" s="422" customFormat="1" ht="15" customHeight="1">
      <c r="A48" s="183">
        <v>5</v>
      </c>
      <c r="B48" s="184" t="s">
        <v>18</v>
      </c>
      <c r="C48" s="185"/>
      <c r="D48" s="185"/>
      <c r="E48" s="185"/>
      <c r="F48" s="446"/>
      <c r="G48" s="445"/>
      <c r="H48" s="446"/>
      <c r="I48" s="185"/>
      <c r="J48" s="77"/>
      <c r="K48" s="186">
        <v>7</v>
      </c>
      <c r="L48" s="187">
        <v>3</v>
      </c>
      <c r="M48" s="187"/>
      <c r="N48" s="187">
        <v>4</v>
      </c>
      <c r="O48" s="188"/>
      <c r="P48" s="188"/>
      <c r="Q48" s="187"/>
      <c r="R48" s="189"/>
      <c r="S48" s="82">
        <f>L48*2+M48</f>
        <v>6</v>
      </c>
      <c r="T48" s="202" t="s">
        <v>528</v>
      </c>
    </row>
    <row r="49" spans="1:20" s="422" customFormat="1" ht="15" customHeight="1">
      <c r="A49" s="183">
        <v>6</v>
      </c>
      <c r="B49" s="184" t="s">
        <v>179</v>
      </c>
      <c r="C49" s="185"/>
      <c r="D49" s="185"/>
      <c r="E49" s="185"/>
      <c r="F49" s="446"/>
      <c r="G49" s="446"/>
      <c r="H49" s="445"/>
      <c r="I49" s="185"/>
      <c r="J49" s="77"/>
      <c r="K49" s="186">
        <v>7</v>
      </c>
      <c r="L49" s="187">
        <v>2</v>
      </c>
      <c r="M49" s="187">
        <v>1</v>
      </c>
      <c r="N49" s="187">
        <v>4</v>
      </c>
      <c r="O49" s="188"/>
      <c r="P49" s="188"/>
      <c r="Q49" s="187"/>
      <c r="R49" s="189"/>
      <c r="S49" s="82">
        <f>L49*2+M49</f>
        <v>5</v>
      </c>
      <c r="T49" s="202" t="s">
        <v>543</v>
      </c>
    </row>
    <row r="50" spans="1:20" s="422" customFormat="1" ht="15" customHeight="1" thickBot="1">
      <c r="A50" s="183">
        <v>7</v>
      </c>
      <c r="B50" s="184" t="s">
        <v>20</v>
      </c>
      <c r="C50" s="185"/>
      <c r="D50" s="185"/>
      <c r="E50" s="185"/>
      <c r="F50" s="185"/>
      <c r="G50" s="185"/>
      <c r="H50" s="185"/>
      <c r="I50" s="86"/>
      <c r="J50" s="77"/>
      <c r="K50" s="186">
        <v>7</v>
      </c>
      <c r="L50" s="187">
        <v>2</v>
      </c>
      <c r="M50" s="187"/>
      <c r="N50" s="187">
        <v>5</v>
      </c>
      <c r="O50" s="188"/>
      <c r="P50" s="188"/>
      <c r="Q50" s="187"/>
      <c r="R50" s="189"/>
      <c r="S50" s="82">
        <f>L50*2+M50</f>
        <v>4</v>
      </c>
      <c r="T50" s="202" t="s">
        <v>529</v>
      </c>
    </row>
    <row r="51" spans="1:20" s="422" customFormat="1" ht="15" customHeight="1" thickBot="1">
      <c r="A51" s="83">
        <v>8</v>
      </c>
      <c r="B51" s="84" t="s">
        <v>127</v>
      </c>
      <c r="C51" s="85"/>
      <c r="D51" s="85"/>
      <c r="E51" s="85"/>
      <c r="F51" s="85"/>
      <c r="G51" s="85"/>
      <c r="H51" s="85"/>
      <c r="I51" s="85"/>
      <c r="J51" s="86"/>
      <c r="K51" s="87">
        <v>7</v>
      </c>
      <c r="L51" s="88">
        <v>1</v>
      </c>
      <c r="M51" s="88"/>
      <c r="N51" s="88">
        <v>6</v>
      </c>
      <c r="O51" s="89"/>
      <c r="P51" s="89"/>
      <c r="Q51" s="88"/>
      <c r="R51" s="90"/>
      <c r="S51" s="320">
        <f>L51*2+M51</f>
        <v>2</v>
      </c>
      <c r="T51" s="203" t="s">
        <v>530</v>
      </c>
    </row>
    <row r="53" ht="15.75" thickBot="1">
      <c r="B53" s="195" t="s">
        <v>80</v>
      </c>
    </row>
    <row r="54" spans="1:22" s="219" customFormat="1" ht="15.75" thickBot="1">
      <c r="A54" s="267" t="s">
        <v>0</v>
      </c>
      <c r="B54" s="227"/>
      <c r="C54" s="227">
        <v>1</v>
      </c>
      <c r="D54" s="227">
        <v>2</v>
      </c>
      <c r="E54" s="227">
        <v>3</v>
      </c>
      <c r="F54" s="227">
        <v>4</v>
      </c>
      <c r="G54" s="227">
        <v>5</v>
      </c>
      <c r="H54" s="227">
        <v>6</v>
      </c>
      <c r="I54" s="227">
        <v>7</v>
      </c>
      <c r="J54" s="227">
        <v>8</v>
      </c>
      <c r="K54" s="227">
        <v>9</v>
      </c>
      <c r="L54" s="227">
        <v>10</v>
      </c>
      <c r="M54" s="268" t="s">
        <v>1</v>
      </c>
      <c r="N54" s="227" t="s">
        <v>2</v>
      </c>
      <c r="O54" s="227" t="s">
        <v>3</v>
      </c>
      <c r="P54" s="227" t="s">
        <v>4</v>
      </c>
      <c r="Q54" s="269" t="s">
        <v>97</v>
      </c>
      <c r="R54" s="227" t="s">
        <v>5</v>
      </c>
      <c r="S54" s="227" t="s">
        <v>104</v>
      </c>
      <c r="T54" s="227" t="s">
        <v>98</v>
      </c>
      <c r="U54" s="270" t="s">
        <v>6</v>
      </c>
      <c r="V54" s="73" t="s">
        <v>99</v>
      </c>
    </row>
    <row r="55" spans="1:22" s="219" customFormat="1" ht="15">
      <c r="A55" s="273">
        <v>1</v>
      </c>
      <c r="B55" s="349" t="s">
        <v>63</v>
      </c>
      <c r="C55" s="271"/>
      <c r="D55" s="274"/>
      <c r="E55" s="274"/>
      <c r="F55" s="274"/>
      <c r="G55" s="274"/>
      <c r="H55" s="274"/>
      <c r="I55" s="274"/>
      <c r="J55" s="274"/>
      <c r="K55" s="274"/>
      <c r="L55" s="274"/>
      <c r="M55" s="275">
        <v>9</v>
      </c>
      <c r="N55" s="276">
        <v>7</v>
      </c>
      <c r="O55" s="276">
        <v>1</v>
      </c>
      <c r="P55" s="276">
        <v>1</v>
      </c>
      <c r="Q55" s="274" t="s">
        <v>600</v>
      </c>
      <c r="R55" s="350">
        <v>19</v>
      </c>
      <c r="S55" s="276"/>
      <c r="T55" s="277">
        <v>329</v>
      </c>
      <c r="U55" s="278">
        <f>N55*2+O55</f>
        <v>15</v>
      </c>
      <c r="V55" s="279">
        <v>1</v>
      </c>
    </row>
    <row r="56" spans="1:22" s="219" customFormat="1" ht="15">
      <c r="A56" s="104">
        <v>2</v>
      </c>
      <c r="B56" s="105" t="s">
        <v>8</v>
      </c>
      <c r="C56" s="106"/>
      <c r="D56" s="74"/>
      <c r="E56" s="106"/>
      <c r="F56" s="106"/>
      <c r="G56" s="106"/>
      <c r="H56" s="106"/>
      <c r="I56" s="106"/>
      <c r="J56" s="106"/>
      <c r="K56" s="106"/>
      <c r="L56" s="106"/>
      <c r="M56" s="107">
        <v>9</v>
      </c>
      <c r="N56" s="108">
        <v>7</v>
      </c>
      <c r="O56" s="108">
        <v>1</v>
      </c>
      <c r="P56" s="108">
        <v>1</v>
      </c>
      <c r="Q56" s="106" t="s">
        <v>601</v>
      </c>
      <c r="R56" s="323">
        <v>19</v>
      </c>
      <c r="S56" s="108"/>
      <c r="T56" s="109">
        <v>324</v>
      </c>
      <c r="U56" s="272">
        <f>N56*2+O56</f>
        <v>15</v>
      </c>
      <c r="V56" s="264">
        <v>2</v>
      </c>
    </row>
    <row r="57" spans="1:22" s="219" customFormat="1" ht="15">
      <c r="A57" s="104">
        <v>3</v>
      </c>
      <c r="B57" s="105" t="s">
        <v>7</v>
      </c>
      <c r="C57" s="106"/>
      <c r="D57" s="106"/>
      <c r="E57" s="74"/>
      <c r="F57" s="106"/>
      <c r="G57" s="106"/>
      <c r="H57" s="106"/>
      <c r="I57" s="106"/>
      <c r="J57" s="106"/>
      <c r="K57" s="106"/>
      <c r="L57" s="106"/>
      <c r="M57" s="107">
        <v>9</v>
      </c>
      <c r="N57" s="108">
        <v>4</v>
      </c>
      <c r="O57" s="108">
        <v>2</v>
      </c>
      <c r="P57" s="108">
        <v>3</v>
      </c>
      <c r="Q57" s="106" t="s">
        <v>602</v>
      </c>
      <c r="R57" s="323">
        <v>11</v>
      </c>
      <c r="S57" s="108"/>
      <c r="T57" s="109">
        <v>325</v>
      </c>
      <c r="U57" s="272">
        <f aca="true" t="shared" si="0" ref="U57:U64">N57*2+O57</f>
        <v>10</v>
      </c>
      <c r="V57" s="264">
        <v>3</v>
      </c>
    </row>
    <row r="58" spans="1:22" s="219" customFormat="1" ht="15">
      <c r="A58" s="196">
        <v>4</v>
      </c>
      <c r="B58" s="222" t="s">
        <v>128</v>
      </c>
      <c r="C58" s="77"/>
      <c r="D58" s="77"/>
      <c r="E58" s="77"/>
      <c r="F58" s="74"/>
      <c r="G58" s="455"/>
      <c r="H58" s="455"/>
      <c r="I58" s="77"/>
      <c r="J58" s="77"/>
      <c r="K58" s="77"/>
      <c r="L58" s="77"/>
      <c r="M58" s="198">
        <v>9</v>
      </c>
      <c r="N58" s="199">
        <v>5</v>
      </c>
      <c r="O58" s="199"/>
      <c r="P58" s="199">
        <v>4</v>
      </c>
      <c r="Q58" s="197" t="s">
        <v>603</v>
      </c>
      <c r="R58" s="328">
        <v>4</v>
      </c>
      <c r="S58" s="199"/>
      <c r="T58" s="200">
        <v>321</v>
      </c>
      <c r="U58" s="348">
        <f t="shared" si="0"/>
        <v>10</v>
      </c>
      <c r="V58" s="265">
        <v>4</v>
      </c>
    </row>
    <row r="59" spans="1:22" s="219" customFormat="1" ht="15">
      <c r="A59" s="196">
        <v>5</v>
      </c>
      <c r="B59" s="228" t="s">
        <v>22</v>
      </c>
      <c r="C59" s="77"/>
      <c r="D59" s="77"/>
      <c r="E59" s="77"/>
      <c r="F59" s="77"/>
      <c r="G59" s="74"/>
      <c r="H59" s="77"/>
      <c r="I59" s="455"/>
      <c r="J59" s="77"/>
      <c r="K59" s="77"/>
      <c r="L59" s="77"/>
      <c r="M59" s="198">
        <v>9</v>
      </c>
      <c r="N59" s="199">
        <v>3</v>
      </c>
      <c r="O59" s="199">
        <v>2</v>
      </c>
      <c r="P59" s="199">
        <v>4</v>
      </c>
      <c r="Q59" s="197" t="s">
        <v>604</v>
      </c>
      <c r="R59" s="328">
        <v>-2</v>
      </c>
      <c r="S59" s="199"/>
      <c r="T59" s="200">
        <v>310</v>
      </c>
      <c r="U59" s="348">
        <f t="shared" si="0"/>
        <v>8</v>
      </c>
      <c r="V59" s="265">
        <v>5</v>
      </c>
    </row>
    <row r="60" spans="1:22" s="219" customFormat="1" ht="15">
      <c r="A60" s="196">
        <v>6</v>
      </c>
      <c r="B60" s="228" t="s">
        <v>67</v>
      </c>
      <c r="C60" s="77"/>
      <c r="D60" s="77"/>
      <c r="E60" s="77"/>
      <c r="F60" s="77"/>
      <c r="G60" s="77"/>
      <c r="H60" s="74"/>
      <c r="I60" s="77"/>
      <c r="J60" s="455"/>
      <c r="K60" s="77"/>
      <c r="L60" s="77"/>
      <c r="M60" s="198">
        <v>9</v>
      </c>
      <c r="N60" s="199">
        <v>3</v>
      </c>
      <c r="O60" s="199">
        <v>2</v>
      </c>
      <c r="P60" s="199">
        <v>4</v>
      </c>
      <c r="Q60" s="197" t="s">
        <v>172</v>
      </c>
      <c r="R60" s="328">
        <v>-3</v>
      </c>
      <c r="S60" s="199"/>
      <c r="T60" s="200">
        <v>309</v>
      </c>
      <c r="U60" s="348">
        <f t="shared" si="0"/>
        <v>8</v>
      </c>
      <c r="V60" s="265">
        <v>6</v>
      </c>
    </row>
    <row r="61" spans="1:22" s="219" customFormat="1" ht="15">
      <c r="A61" s="196">
        <v>7</v>
      </c>
      <c r="B61" s="222" t="s">
        <v>180</v>
      </c>
      <c r="C61" s="77"/>
      <c r="D61" s="77"/>
      <c r="E61" s="77"/>
      <c r="F61" s="77"/>
      <c r="G61" s="77"/>
      <c r="H61" s="77"/>
      <c r="I61" s="74"/>
      <c r="J61" s="77"/>
      <c r="K61" s="455"/>
      <c r="L61" s="77"/>
      <c r="M61" s="198">
        <v>9</v>
      </c>
      <c r="N61" s="199">
        <v>3</v>
      </c>
      <c r="O61" s="199">
        <v>2</v>
      </c>
      <c r="P61" s="199">
        <v>4</v>
      </c>
      <c r="Q61" s="197" t="s">
        <v>605</v>
      </c>
      <c r="R61" s="328">
        <v>-4</v>
      </c>
      <c r="S61" s="199"/>
      <c r="T61" s="200">
        <v>289</v>
      </c>
      <c r="U61" s="348">
        <f t="shared" si="0"/>
        <v>8</v>
      </c>
      <c r="V61" s="266">
        <v>7</v>
      </c>
    </row>
    <row r="62" spans="1:22" s="219" customFormat="1" ht="15.75" thickBot="1">
      <c r="A62" s="259">
        <v>8</v>
      </c>
      <c r="B62" s="222" t="s">
        <v>124</v>
      </c>
      <c r="C62" s="262"/>
      <c r="D62" s="262"/>
      <c r="E62" s="262"/>
      <c r="F62" s="262"/>
      <c r="G62" s="262"/>
      <c r="H62" s="262"/>
      <c r="I62" s="77"/>
      <c r="J62" s="74"/>
      <c r="K62" s="85"/>
      <c r="L62" s="456"/>
      <c r="M62" s="260">
        <v>9</v>
      </c>
      <c r="N62" s="261">
        <v>3</v>
      </c>
      <c r="O62" s="261">
        <v>1</v>
      </c>
      <c r="P62" s="261">
        <v>5</v>
      </c>
      <c r="Q62" s="262" t="s">
        <v>606</v>
      </c>
      <c r="R62" s="351">
        <v>-13</v>
      </c>
      <c r="S62" s="261"/>
      <c r="T62" s="263">
        <v>292</v>
      </c>
      <c r="U62" s="348">
        <f t="shared" si="0"/>
        <v>7</v>
      </c>
      <c r="V62" s="265">
        <v>8</v>
      </c>
    </row>
    <row r="63" spans="1:22" s="449" customFormat="1" ht="15">
      <c r="A63" s="196">
        <v>9</v>
      </c>
      <c r="B63" s="222" t="s">
        <v>9</v>
      </c>
      <c r="C63" s="77"/>
      <c r="D63" s="77"/>
      <c r="E63" s="77"/>
      <c r="F63" s="77"/>
      <c r="G63" s="77"/>
      <c r="H63" s="77"/>
      <c r="I63" s="77"/>
      <c r="J63" s="197"/>
      <c r="K63" s="74"/>
      <c r="L63" s="77"/>
      <c r="M63" s="198">
        <v>9</v>
      </c>
      <c r="N63" s="199">
        <v>2</v>
      </c>
      <c r="O63" s="199">
        <v>2</v>
      </c>
      <c r="P63" s="199">
        <v>5</v>
      </c>
      <c r="Q63" s="197" t="s">
        <v>607</v>
      </c>
      <c r="R63" s="328">
        <v>-7</v>
      </c>
      <c r="S63" s="199"/>
      <c r="T63" s="200">
        <v>298</v>
      </c>
      <c r="U63" s="348">
        <f t="shared" si="0"/>
        <v>6</v>
      </c>
      <c r="V63" s="266">
        <v>7</v>
      </c>
    </row>
    <row r="64" spans="1:22" s="449" customFormat="1" ht="15.75" thickBot="1">
      <c r="A64" s="259">
        <v>10</v>
      </c>
      <c r="B64" s="222" t="s">
        <v>201</v>
      </c>
      <c r="C64" s="262"/>
      <c r="D64" s="262"/>
      <c r="E64" s="262"/>
      <c r="F64" s="262"/>
      <c r="G64" s="262"/>
      <c r="H64" s="262"/>
      <c r="I64" s="262"/>
      <c r="J64" s="262"/>
      <c r="K64" s="85"/>
      <c r="L64" s="86"/>
      <c r="M64" s="260">
        <v>9</v>
      </c>
      <c r="N64" s="261">
        <v>1</v>
      </c>
      <c r="O64" s="261">
        <v>1</v>
      </c>
      <c r="P64" s="261">
        <v>7</v>
      </c>
      <c r="Q64" s="262" t="s">
        <v>608</v>
      </c>
      <c r="R64" s="351">
        <v>-24</v>
      </c>
      <c r="S64" s="261"/>
      <c r="T64" s="263">
        <v>286</v>
      </c>
      <c r="U64" s="348">
        <f t="shared" si="0"/>
        <v>3</v>
      </c>
      <c r="V64" s="265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58">
      <selection activeCell="B84" sqref="B84"/>
    </sheetView>
  </sheetViews>
  <sheetFormatPr defaultColWidth="9.140625" defaultRowHeight="15"/>
  <cols>
    <col min="1" max="1" width="9.28125" style="0" bestFit="1" customWidth="1"/>
    <col min="2" max="2" width="16.57421875" style="0" bestFit="1" customWidth="1"/>
  </cols>
  <sheetData>
    <row r="1" spans="1:2" ht="15.75" thickBot="1">
      <c r="A1" s="10" t="s">
        <v>31</v>
      </c>
      <c r="B1" s="11" t="s">
        <v>32</v>
      </c>
    </row>
    <row r="2" spans="1:5" ht="15">
      <c r="A2" s="12">
        <v>1</v>
      </c>
      <c r="B2" s="13">
        <v>45</v>
      </c>
      <c r="D2">
        <f>B2+B3+B6</f>
        <v>117</v>
      </c>
      <c r="E2">
        <f>B2+B3+B7+B11</f>
        <v>138</v>
      </c>
    </row>
    <row r="3" spans="1:2" ht="15">
      <c r="A3" s="14">
        <v>2</v>
      </c>
      <c r="B3" s="15">
        <v>40</v>
      </c>
    </row>
    <row r="4" spans="1:2" ht="15">
      <c r="A4" s="14">
        <v>3</v>
      </c>
      <c r="B4" s="15">
        <v>37</v>
      </c>
    </row>
    <row r="5" spans="1:2" ht="15">
      <c r="A5" s="14">
        <v>4</v>
      </c>
      <c r="B5" s="15">
        <v>34</v>
      </c>
    </row>
    <row r="6" spans="1:2" ht="15">
      <c r="A6" s="14">
        <v>5</v>
      </c>
      <c r="B6" s="15">
        <v>32</v>
      </c>
    </row>
    <row r="7" spans="1:2" ht="15">
      <c r="A7" s="14">
        <v>6</v>
      </c>
      <c r="B7" s="15">
        <v>30</v>
      </c>
    </row>
    <row r="8" spans="1:2" ht="15">
      <c r="A8" s="14">
        <v>7</v>
      </c>
      <c r="B8" s="15">
        <v>28</v>
      </c>
    </row>
    <row r="9" spans="1:2" ht="15">
      <c r="A9" s="14">
        <v>8</v>
      </c>
      <c r="B9" s="15">
        <v>26</v>
      </c>
    </row>
    <row r="10" spans="1:2" ht="15">
      <c r="A10" s="14">
        <v>9</v>
      </c>
      <c r="B10" s="15">
        <v>24</v>
      </c>
    </row>
    <row r="11" spans="1:2" ht="15">
      <c r="A11" s="14">
        <v>10</v>
      </c>
      <c r="B11" s="15">
        <v>23</v>
      </c>
    </row>
    <row r="12" spans="1:2" ht="15">
      <c r="A12" s="14">
        <v>11</v>
      </c>
      <c r="B12" s="15">
        <v>22</v>
      </c>
    </row>
    <row r="13" spans="1:2" ht="15">
      <c r="A13" s="14">
        <v>12</v>
      </c>
      <c r="B13" s="15">
        <v>21</v>
      </c>
    </row>
    <row r="14" spans="1:2" ht="15">
      <c r="A14" s="14">
        <v>13</v>
      </c>
      <c r="B14" s="15">
        <v>20</v>
      </c>
    </row>
    <row r="15" spans="1:2" ht="15">
      <c r="A15" s="14">
        <v>14</v>
      </c>
      <c r="B15" s="15">
        <v>19</v>
      </c>
    </row>
    <row r="16" spans="1:2" ht="15">
      <c r="A16" s="14">
        <v>15</v>
      </c>
      <c r="B16" s="15">
        <v>18</v>
      </c>
    </row>
    <row r="17" spans="1:2" ht="15">
      <c r="A17" s="14">
        <v>16</v>
      </c>
      <c r="B17" s="15">
        <v>17</v>
      </c>
    </row>
    <row r="18" spans="1:2" ht="15">
      <c r="A18" s="14">
        <v>17</v>
      </c>
      <c r="B18" s="15">
        <v>16</v>
      </c>
    </row>
    <row r="19" spans="1:2" ht="15">
      <c r="A19" s="14">
        <v>18</v>
      </c>
      <c r="B19" s="15">
        <v>15</v>
      </c>
    </row>
    <row r="20" spans="1:2" ht="15">
      <c r="A20" s="14">
        <v>19</v>
      </c>
      <c r="B20" s="15">
        <v>14</v>
      </c>
    </row>
    <row r="21" spans="1:2" ht="15">
      <c r="A21" s="14">
        <v>20</v>
      </c>
      <c r="B21" s="15">
        <v>13</v>
      </c>
    </row>
    <row r="22" spans="1:2" ht="15">
      <c r="A22" s="14">
        <v>21</v>
      </c>
      <c r="B22" s="15">
        <v>12</v>
      </c>
    </row>
    <row r="23" spans="1:2" ht="15">
      <c r="A23" s="14">
        <v>22</v>
      </c>
      <c r="B23" s="15">
        <v>11</v>
      </c>
    </row>
    <row r="24" spans="1:2" ht="15">
      <c r="A24" s="14">
        <v>23</v>
      </c>
      <c r="B24" s="15">
        <v>10</v>
      </c>
    </row>
    <row r="25" spans="1:2" ht="15">
      <c r="A25" s="14">
        <v>24</v>
      </c>
      <c r="B25" s="15">
        <v>9</v>
      </c>
    </row>
    <row r="26" spans="1:2" ht="15">
      <c r="A26" s="14">
        <v>25</v>
      </c>
      <c r="B26" s="15">
        <v>8</v>
      </c>
    </row>
    <row r="27" spans="1:2" ht="15">
      <c r="A27" s="14">
        <v>26</v>
      </c>
      <c r="B27" s="15">
        <v>7</v>
      </c>
    </row>
    <row r="28" spans="1:2" ht="15">
      <c r="A28" s="14">
        <v>27</v>
      </c>
      <c r="B28" s="15">
        <v>6</v>
      </c>
    </row>
    <row r="29" spans="1:2" ht="15">
      <c r="A29" s="14">
        <v>28</v>
      </c>
      <c r="B29" s="15">
        <v>5</v>
      </c>
    </row>
    <row r="30" spans="1:2" ht="15">
      <c r="A30" s="14">
        <v>29</v>
      </c>
      <c r="B30" s="15">
        <v>4</v>
      </c>
    </row>
    <row r="31" spans="1:2" s="29" customFormat="1" ht="15">
      <c r="A31" s="32">
        <v>30</v>
      </c>
      <c r="B31" s="33">
        <v>3</v>
      </c>
    </row>
    <row r="32" spans="1:2" s="39" customFormat="1" ht="15">
      <c r="A32" s="32">
        <v>31</v>
      </c>
      <c r="B32" s="33">
        <v>2</v>
      </c>
    </row>
    <row r="33" spans="1:2" s="39" customFormat="1" ht="15">
      <c r="A33" s="32">
        <v>32</v>
      </c>
      <c r="B33" s="33">
        <v>1</v>
      </c>
    </row>
    <row r="34" spans="1:2" s="39" customFormat="1" ht="15">
      <c r="A34" s="32">
        <v>33</v>
      </c>
      <c r="B34" s="33">
        <v>0</v>
      </c>
    </row>
    <row r="35" spans="1:2" s="39" customFormat="1" ht="15">
      <c r="A35" s="32">
        <v>34</v>
      </c>
      <c r="B35" s="33">
        <v>0</v>
      </c>
    </row>
    <row r="36" spans="1:2" s="39" customFormat="1" ht="15">
      <c r="A36" s="32">
        <v>35</v>
      </c>
      <c r="B36" s="33">
        <v>0</v>
      </c>
    </row>
    <row r="37" spans="1:2" s="39" customFormat="1" ht="15">
      <c r="A37" s="32">
        <v>36</v>
      </c>
      <c r="B37" s="33">
        <v>0</v>
      </c>
    </row>
    <row r="38" spans="1:2" s="39" customFormat="1" ht="15">
      <c r="A38" s="32">
        <v>37</v>
      </c>
      <c r="B38" s="33">
        <v>0</v>
      </c>
    </row>
    <row r="39" spans="1:2" s="39" customFormat="1" ht="15">
      <c r="A39" s="32">
        <v>38</v>
      </c>
      <c r="B39" s="33">
        <v>0</v>
      </c>
    </row>
    <row r="40" spans="1:2" s="39" customFormat="1" ht="15">
      <c r="A40" s="32">
        <v>39</v>
      </c>
      <c r="B40" s="33">
        <v>0</v>
      </c>
    </row>
    <row r="41" spans="1:2" s="39" customFormat="1" ht="15">
      <c r="A41" s="32">
        <v>40</v>
      </c>
      <c r="B41" s="33">
        <v>0</v>
      </c>
    </row>
    <row r="42" spans="1:2" s="39" customFormat="1" ht="15">
      <c r="A42" s="32">
        <v>41</v>
      </c>
      <c r="B42" s="33">
        <v>0</v>
      </c>
    </row>
    <row r="43" spans="1:2" s="39" customFormat="1" ht="15">
      <c r="A43" s="32">
        <v>42</v>
      </c>
      <c r="B43" s="33">
        <v>0</v>
      </c>
    </row>
    <row r="44" spans="1:2" s="39" customFormat="1" ht="15">
      <c r="A44" s="32">
        <v>43</v>
      </c>
      <c r="B44" s="33">
        <v>0</v>
      </c>
    </row>
    <row r="45" spans="1:2" s="39" customFormat="1" ht="15">
      <c r="A45" s="32">
        <v>44</v>
      </c>
      <c r="B45" s="33">
        <v>0</v>
      </c>
    </row>
    <row r="46" spans="1:2" s="39" customFormat="1" ht="15">
      <c r="A46" s="32">
        <v>45</v>
      </c>
      <c r="B46" s="33">
        <v>0</v>
      </c>
    </row>
    <row r="47" spans="1:2" s="39" customFormat="1" ht="15">
      <c r="A47" s="32">
        <v>46</v>
      </c>
      <c r="B47" s="33">
        <v>0</v>
      </c>
    </row>
    <row r="48" spans="1:2" s="122" customFormat="1" ht="15">
      <c r="A48" s="41" t="s">
        <v>148</v>
      </c>
      <c r="B48" s="33">
        <v>29</v>
      </c>
    </row>
    <row r="49" spans="1:2" s="219" customFormat="1" ht="15">
      <c r="A49" s="41" t="s">
        <v>192</v>
      </c>
      <c r="B49" s="33">
        <v>26</v>
      </c>
    </row>
    <row r="50" spans="1:2" s="194" customFormat="1" ht="15">
      <c r="A50" s="41" t="s">
        <v>187</v>
      </c>
      <c r="B50" s="33">
        <v>23.5</v>
      </c>
    </row>
    <row r="51" spans="1:2" s="40" customFormat="1" ht="15">
      <c r="A51" s="41" t="s">
        <v>78</v>
      </c>
      <c r="B51" s="33">
        <v>22.5</v>
      </c>
    </row>
    <row r="52" spans="1:2" s="162" customFormat="1" ht="15">
      <c r="A52" s="41" t="s">
        <v>161</v>
      </c>
      <c r="B52" s="33">
        <v>20.5</v>
      </c>
    </row>
    <row r="53" spans="1:2" s="219" customFormat="1" ht="15">
      <c r="A53" s="41" t="s">
        <v>193</v>
      </c>
      <c r="B53" s="33">
        <v>22</v>
      </c>
    </row>
    <row r="54" spans="1:2" s="46" customFormat="1" ht="15">
      <c r="A54" s="41" t="s">
        <v>101</v>
      </c>
      <c r="B54" s="33">
        <v>20</v>
      </c>
    </row>
    <row r="55" spans="1:2" s="194" customFormat="1" ht="15">
      <c r="A55" s="41" t="s">
        <v>188</v>
      </c>
      <c r="B55" s="33">
        <v>21.5</v>
      </c>
    </row>
    <row r="56" spans="1:2" s="124" customFormat="1" ht="15">
      <c r="A56" s="41" t="s">
        <v>149</v>
      </c>
      <c r="B56" s="33">
        <v>19</v>
      </c>
    </row>
    <row r="57" spans="1:2" s="194" customFormat="1" ht="15">
      <c r="A57" s="41" t="s">
        <v>160</v>
      </c>
      <c r="B57" s="33">
        <v>19.5</v>
      </c>
    </row>
    <row r="58" spans="1:2" s="40" customFormat="1" ht="15">
      <c r="A58" s="41" t="s">
        <v>79</v>
      </c>
      <c r="B58" s="33">
        <v>18.5</v>
      </c>
    </row>
    <row r="59" spans="1:2" s="66" customFormat="1" ht="15">
      <c r="A59" s="41" t="s">
        <v>136</v>
      </c>
      <c r="B59" s="33">
        <v>17.5</v>
      </c>
    </row>
    <row r="60" spans="1:2" s="194" customFormat="1" ht="15">
      <c r="A60" s="41" t="s">
        <v>189</v>
      </c>
      <c r="B60" s="33">
        <v>17.5</v>
      </c>
    </row>
    <row r="61" spans="1:2" s="219" customFormat="1" ht="15">
      <c r="A61" s="41" t="s">
        <v>194</v>
      </c>
      <c r="B61" s="33">
        <v>16</v>
      </c>
    </row>
    <row r="62" spans="1:2" s="46" customFormat="1" ht="15">
      <c r="A62" s="41" t="s">
        <v>102</v>
      </c>
      <c r="B62" s="33">
        <v>15</v>
      </c>
    </row>
    <row r="63" spans="1:2" s="194" customFormat="1" ht="15">
      <c r="A63" s="41" t="s">
        <v>186</v>
      </c>
      <c r="B63" s="33">
        <v>16.5</v>
      </c>
    </row>
    <row r="64" spans="1:2" s="40" customFormat="1" ht="15">
      <c r="A64" s="41" t="s">
        <v>75</v>
      </c>
      <c r="B64" s="33">
        <v>14.5</v>
      </c>
    </row>
    <row r="65" spans="1:2" s="114" customFormat="1" ht="15">
      <c r="A65" s="41" t="s">
        <v>144</v>
      </c>
      <c r="B65" s="33">
        <v>14</v>
      </c>
    </row>
    <row r="66" spans="1:2" s="359" customFormat="1" ht="15">
      <c r="A66" s="41" t="s">
        <v>409</v>
      </c>
      <c r="B66" s="33">
        <v>13</v>
      </c>
    </row>
    <row r="67" spans="1:2" s="66" customFormat="1" ht="15">
      <c r="A67" s="41" t="s">
        <v>105</v>
      </c>
      <c r="B67" s="33">
        <v>11.5</v>
      </c>
    </row>
    <row r="68" spans="1:2" s="194" customFormat="1" ht="15">
      <c r="A68" s="41" t="s">
        <v>190</v>
      </c>
      <c r="B68" s="33">
        <v>13.5</v>
      </c>
    </row>
    <row r="69" spans="1:2" s="327" customFormat="1" ht="15">
      <c r="A69" s="41" t="s">
        <v>209</v>
      </c>
      <c r="B69" s="33">
        <v>12.5</v>
      </c>
    </row>
    <row r="70" spans="1:2" s="34" customFormat="1" ht="15">
      <c r="A70" s="32" t="s">
        <v>76</v>
      </c>
      <c r="B70" s="33">
        <v>10.5</v>
      </c>
    </row>
    <row r="71" spans="1:2" s="422" customFormat="1" ht="15">
      <c r="A71" s="32" t="s">
        <v>528</v>
      </c>
      <c r="B71" s="33">
        <v>10</v>
      </c>
    </row>
    <row r="72" spans="1:2" s="167" customFormat="1" ht="15">
      <c r="A72" s="32" t="s">
        <v>165</v>
      </c>
      <c r="B72" s="33">
        <v>10</v>
      </c>
    </row>
    <row r="73" spans="1:2" s="114" customFormat="1" ht="15">
      <c r="A73" s="32" t="s">
        <v>143</v>
      </c>
      <c r="B73" s="33">
        <v>8</v>
      </c>
    </row>
    <row r="74" spans="1:2" s="46" customFormat="1" ht="15">
      <c r="A74" s="32" t="s">
        <v>100</v>
      </c>
      <c r="B74" s="33">
        <v>7.5</v>
      </c>
    </row>
    <row r="75" spans="1:2" s="179" customFormat="1" ht="15">
      <c r="A75" s="32" t="s">
        <v>169</v>
      </c>
      <c r="B75" s="33">
        <v>11</v>
      </c>
    </row>
    <row r="76" spans="1:2" s="129" customFormat="1" ht="15">
      <c r="A76" s="32" t="s">
        <v>150</v>
      </c>
      <c r="B76" s="33">
        <v>9.5</v>
      </c>
    </row>
    <row r="77" spans="1:2" s="179" customFormat="1" ht="15">
      <c r="A77" s="32" t="s">
        <v>170</v>
      </c>
      <c r="B77" s="33">
        <v>7.5</v>
      </c>
    </row>
    <row r="78" spans="1:2" s="359" customFormat="1" ht="15">
      <c r="A78" s="32" t="s">
        <v>326</v>
      </c>
      <c r="B78" s="33">
        <v>7</v>
      </c>
    </row>
    <row r="79" spans="1:2" s="30" customFormat="1" ht="15">
      <c r="A79" s="32" t="s">
        <v>74</v>
      </c>
      <c r="B79" s="33">
        <v>6.5</v>
      </c>
    </row>
    <row r="80" spans="1:2" s="327" customFormat="1" ht="15">
      <c r="A80" s="32" t="s">
        <v>323</v>
      </c>
      <c r="B80" s="33">
        <v>8.5</v>
      </c>
    </row>
    <row r="81" spans="1:2" s="61" customFormat="1" ht="15">
      <c r="A81" s="32" t="s">
        <v>119</v>
      </c>
      <c r="B81" s="33">
        <v>5.5</v>
      </c>
    </row>
    <row r="82" spans="1:2" s="44" customFormat="1" ht="15">
      <c r="A82" s="32" t="s">
        <v>94</v>
      </c>
      <c r="B82" s="33">
        <v>4.5</v>
      </c>
    </row>
    <row r="83" spans="1:2" s="422" customFormat="1" ht="15">
      <c r="A83" s="32" t="s">
        <v>543</v>
      </c>
      <c r="B83" s="33">
        <v>5</v>
      </c>
    </row>
    <row r="84" spans="1:2" s="359" customFormat="1" ht="15">
      <c r="A84" s="32" t="s">
        <v>410</v>
      </c>
      <c r="B84" s="33">
        <v>4</v>
      </c>
    </row>
    <row r="85" spans="1:2" s="179" customFormat="1" ht="15">
      <c r="A85" s="32" t="s">
        <v>171</v>
      </c>
      <c r="B85" s="33">
        <v>3.5</v>
      </c>
    </row>
    <row r="86" spans="1:2" s="34" customFormat="1" ht="15">
      <c r="A86" s="32" t="s">
        <v>73</v>
      </c>
      <c r="B86" s="33">
        <v>2.5</v>
      </c>
    </row>
    <row r="87" spans="1:2" s="29" customFormat="1" ht="15">
      <c r="A87" s="32" t="s">
        <v>70</v>
      </c>
      <c r="B87" s="33">
        <v>1.4</v>
      </c>
    </row>
    <row r="88" spans="1:2" s="121" customFormat="1" ht="15">
      <c r="A88" s="32" t="s">
        <v>146</v>
      </c>
      <c r="B88" s="33">
        <v>1.3</v>
      </c>
    </row>
    <row r="89" spans="1:2" s="34" customFormat="1" ht="15">
      <c r="A89" s="32" t="s">
        <v>77</v>
      </c>
      <c r="B89" s="33">
        <v>0</v>
      </c>
    </row>
    <row r="90" spans="1:2" s="394" customFormat="1" ht="15">
      <c r="A90" s="32" t="s">
        <v>329</v>
      </c>
      <c r="B90" s="33">
        <v>2</v>
      </c>
    </row>
    <row r="91" spans="1:2" s="182" customFormat="1" ht="15">
      <c r="A91" s="32" t="s">
        <v>182</v>
      </c>
      <c r="B91" s="33">
        <v>1.5</v>
      </c>
    </row>
    <row r="92" spans="1:2" s="359" customFormat="1" ht="15">
      <c r="A92" s="32" t="s">
        <v>411</v>
      </c>
      <c r="B92" s="33">
        <v>1</v>
      </c>
    </row>
    <row r="93" spans="1:2" s="65" customFormat="1" ht="15">
      <c r="A93" s="32" t="s">
        <v>120</v>
      </c>
      <c r="B93" s="33">
        <v>0.5</v>
      </c>
    </row>
    <row r="94" spans="1:2" s="44" customFormat="1" ht="15">
      <c r="A94" s="32" t="s">
        <v>103</v>
      </c>
      <c r="B94" s="33">
        <v>0.3</v>
      </c>
    </row>
    <row r="95" spans="1:2" s="179" customFormat="1" ht="15">
      <c r="A95" s="32" t="s">
        <v>172</v>
      </c>
      <c r="B95" s="33">
        <v>0.3</v>
      </c>
    </row>
    <row r="96" spans="1:2" s="47" customFormat="1" ht="15">
      <c r="A96" s="32" t="s">
        <v>95</v>
      </c>
      <c r="B96" s="33">
        <v>0</v>
      </c>
    </row>
    <row r="97" spans="1:2" s="359" customFormat="1" ht="15">
      <c r="A97" s="32" t="s">
        <v>412</v>
      </c>
      <c r="B97" s="33">
        <v>0</v>
      </c>
    </row>
    <row r="98" spans="1:2" s="29" customFormat="1" ht="15">
      <c r="A98" s="32" t="s">
        <v>71</v>
      </c>
      <c r="B98" s="33">
        <v>0</v>
      </c>
    </row>
    <row r="99" spans="1:2" s="65" customFormat="1" ht="15">
      <c r="A99" s="32" t="s">
        <v>121</v>
      </c>
      <c r="B99" s="33">
        <v>0</v>
      </c>
    </row>
    <row r="100" spans="1:2" s="44" customFormat="1" ht="15">
      <c r="A100" s="32" t="s">
        <v>96</v>
      </c>
      <c r="B100" s="33">
        <v>0</v>
      </c>
    </row>
    <row r="101" spans="1:2" s="65" customFormat="1" ht="15">
      <c r="A101" s="32" t="s">
        <v>122</v>
      </c>
      <c r="B101" s="33">
        <v>0</v>
      </c>
    </row>
    <row r="102" spans="1:2" s="162" customFormat="1" ht="15">
      <c r="A102" s="32" t="s">
        <v>163</v>
      </c>
      <c r="B102" s="33">
        <v>0</v>
      </c>
    </row>
    <row r="103" spans="1:2" s="290" customFormat="1" ht="15">
      <c r="A103" s="32" t="s">
        <v>228</v>
      </c>
      <c r="B103" s="33">
        <v>4.5</v>
      </c>
    </row>
    <row r="104" spans="1:2" s="394" customFormat="1" ht="15">
      <c r="A104" s="32" t="s">
        <v>320</v>
      </c>
      <c r="B104" s="33">
        <v>5</v>
      </c>
    </row>
    <row r="105" spans="1:2" s="290" customFormat="1" ht="15">
      <c r="A105" s="32" t="s">
        <v>229</v>
      </c>
      <c r="B105" s="33">
        <v>0.8</v>
      </c>
    </row>
    <row r="106" spans="1:2" s="422" customFormat="1" ht="15">
      <c r="A106" s="32" t="s">
        <v>529</v>
      </c>
      <c r="B106" s="33">
        <v>0.6</v>
      </c>
    </row>
    <row r="107" spans="1:2" s="394" customFormat="1" ht="15">
      <c r="A107" s="32" t="s">
        <v>515</v>
      </c>
      <c r="B107" s="33">
        <v>0</v>
      </c>
    </row>
    <row r="108" spans="1:2" s="394" customFormat="1" ht="15">
      <c r="A108" s="32" t="s">
        <v>519</v>
      </c>
      <c r="B108" s="33">
        <v>0</v>
      </c>
    </row>
    <row r="109" spans="1:2" s="394" customFormat="1" ht="15">
      <c r="A109" s="32" t="s">
        <v>516</v>
      </c>
      <c r="B109" s="33">
        <v>0</v>
      </c>
    </row>
    <row r="110" spans="1:2" s="422" customFormat="1" ht="15">
      <c r="A110" s="32" t="s">
        <v>530</v>
      </c>
      <c r="B110" s="33">
        <v>0</v>
      </c>
    </row>
    <row r="111" spans="1:2" s="29" customFormat="1" ht="15">
      <c r="A111" s="41">
        <v>0</v>
      </c>
      <c r="B111" s="33">
        <v>0</v>
      </c>
    </row>
    <row r="112" spans="1:2" ht="15.75" thickBot="1">
      <c r="A112" s="16"/>
      <c r="B112" s="17"/>
    </row>
    <row r="113" spans="1:10" ht="15" customHeight="1">
      <c r="A113" s="483" t="s">
        <v>33</v>
      </c>
      <c r="B113" s="483"/>
      <c r="C113" s="483"/>
      <c r="D113" s="483"/>
      <c r="E113" s="483"/>
      <c r="F113" s="483"/>
      <c r="G113" s="483"/>
      <c r="H113" s="483"/>
      <c r="I113" s="483"/>
      <c r="J113" s="483"/>
    </row>
    <row r="114" spans="1:10" ht="15" hidden="1">
      <c r="A114" s="478"/>
      <c r="B114" s="478"/>
      <c r="C114" s="478"/>
      <c r="D114" s="478"/>
      <c r="E114" s="478"/>
      <c r="F114" s="478"/>
      <c r="G114" s="478"/>
      <c r="H114" s="478"/>
      <c r="I114" s="478"/>
      <c r="J114" s="478"/>
    </row>
    <row r="115" spans="1:10" ht="15" hidden="1">
      <c r="A115" s="479"/>
      <c r="B115" s="479"/>
      <c r="C115" s="479"/>
      <c r="D115" s="479"/>
      <c r="E115" s="479"/>
      <c r="F115" s="479"/>
      <c r="G115" s="479"/>
      <c r="H115" s="479"/>
      <c r="I115" s="479"/>
      <c r="J115" s="479"/>
    </row>
    <row r="116" spans="1:10" ht="15">
      <c r="A116" s="18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ht="36" customHeight="1">
      <c r="A117" s="484" t="s">
        <v>34</v>
      </c>
      <c r="B117" s="484"/>
      <c r="C117" s="484"/>
      <c r="D117" s="484"/>
      <c r="E117" s="484"/>
      <c r="F117" s="484"/>
      <c r="G117" s="484"/>
      <c r="H117" s="484"/>
      <c r="I117" s="484"/>
      <c r="J117" s="484"/>
    </row>
    <row r="118" spans="1:10" ht="15">
      <c r="A118" s="18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ht="15">
      <c r="A119" s="478"/>
      <c r="B119" s="478"/>
      <c r="C119" s="478"/>
      <c r="D119" s="478"/>
      <c r="E119" s="478"/>
      <c r="F119" s="478"/>
      <c r="G119" s="478"/>
      <c r="H119" s="478"/>
      <c r="I119" s="478"/>
      <c r="J119" s="478"/>
    </row>
    <row r="120" spans="1:10" ht="15">
      <c r="A120" s="479"/>
      <c r="B120" s="479"/>
      <c r="C120" s="479"/>
      <c r="D120" s="479"/>
      <c r="E120" s="479"/>
      <c r="F120" s="479"/>
      <c r="G120" s="479"/>
      <c r="H120" s="479"/>
      <c r="I120" s="479"/>
      <c r="J120" s="479"/>
    </row>
    <row r="121" spans="1:10" ht="15">
      <c r="A121" s="478"/>
      <c r="B121" s="478"/>
      <c r="C121" s="478"/>
      <c r="D121" s="478"/>
      <c r="E121" s="478"/>
      <c r="F121" s="478"/>
      <c r="G121" s="478"/>
      <c r="H121" s="478"/>
      <c r="I121" s="478"/>
      <c r="J121" s="478"/>
    </row>
    <row r="122" spans="1:10" ht="24" customHeight="1">
      <c r="A122" s="479" t="s">
        <v>35</v>
      </c>
      <c r="B122" s="479"/>
      <c r="C122" s="479"/>
      <c r="D122" s="479"/>
      <c r="E122" s="479"/>
      <c r="F122" s="479"/>
      <c r="G122" s="479"/>
      <c r="H122" s="479"/>
      <c r="I122" s="479"/>
      <c r="J122" s="479"/>
    </row>
    <row r="123" spans="1:10" ht="15">
      <c r="A123" s="478"/>
      <c r="B123" s="478"/>
      <c r="C123" s="478"/>
      <c r="D123" s="478"/>
      <c r="E123" s="478"/>
      <c r="F123" s="478"/>
      <c r="G123" s="478"/>
      <c r="H123" s="478"/>
      <c r="I123" s="478"/>
      <c r="J123" s="478"/>
    </row>
    <row r="124" spans="1:10" ht="15">
      <c r="A124" s="476"/>
      <c r="B124" s="476"/>
      <c r="C124" s="476"/>
      <c r="D124" s="476"/>
      <c r="E124" s="476"/>
      <c r="F124" s="476"/>
      <c r="G124" s="476"/>
      <c r="H124" s="476"/>
      <c r="I124" s="476"/>
      <c r="J124" s="476"/>
    </row>
    <row r="125" spans="1:10" ht="75" customHeight="1">
      <c r="A125" s="476" t="s">
        <v>36</v>
      </c>
      <c r="B125" s="476"/>
      <c r="C125" s="476"/>
      <c r="D125" s="476"/>
      <c r="E125" s="476"/>
      <c r="F125" s="476"/>
      <c r="G125" s="476"/>
      <c r="H125" s="476"/>
      <c r="I125" s="476"/>
      <c r="J125" s="476"/>
    </row>
    <row r="126" spans="1:10" ht="15">
      <c r="A126" s="478"/>
      <c r="B126" s="478"/>
      <c r="C126" s="478"/>
      <c r="D126" s="478"/>
      <c r="E126" s="478"/>
      <c r="F126" s="478"/>
      <c r="G126" s="478"/>
      <c r="H126" s="478"/>
      <c r="I126" s="478"/>
      <c r="J126" s="478"/>
    </row>
    <row r="127" spans="1:10" ht="15.75" thickBot="1">
      <c r="A127" s="481"/>
      <c r="B127" s="481"/>
      <c r="C127" s="481"/>
      <c r="D127" s="481"/>
      <c r="E127" s="481"/>
      <c r="F127" s="481"/>
      <c r="G127" s="481"/>
      <c r="H127" s="481"/>
      <c r="I127" s="481"/>
      <c r="J127" s="481"/>
    </row>
    <row r="128" spans="1:10" ht="16.5" thickBot="1" thickTop="1">
      <c r="A128" s="20" t="s">
        <v>31</v>
      </c>
      <c r="B128" s="21" t="s">
        <v>32</v>
      </c>
      <c r="C128" s="22" t="s">
        <v>31</v>
      </c>
      <c r="D128" s="21" t="s">
        <v>32</v>
      </c>
      <c r="E128" s="22" t="s">
        <v>31</v>
      </c>
      <c r="F128" s="21" t="s">
        <v>32</v>
      </c>
      <c r="G128" s="22" t="s">
        <v>31</v>
      </c>
      <c r="H128" s="21" t="s">
        <v>32</v>
      </c>
      <c r="I128" s="22" t="s">
        <v>31</v>
      </c>
      <c r="J128" s="21" t="s">
        <v>32</v>
      </c>
    </row>
    <row r="129" spans="1:10" ht="15.75" thickBot="1">
      <c r="A129" s="23">
        <v>1</v>
      </c>
      <c r="B129" s="24">
        <v>50</v>
      </c>
      <c r="C129" s="25">
        <v>8</v>
      </c>
      <c r="D129" s="24">
        <v>31</v>
      </c>
      <c r="E129" s="25">
        <v>15</v>
      </c>
      <c r="F129" s="24">
        <v>21</v>
      </c>
      <c r="G129" s="25">
        <v>22</v>
      </c>
      <c r="H129" s="24">
        <v>14</v>
      </c>
      <c r="I129" s="25">
        <v>29</v>
      </c>
      <c r="J129" s="24">
        <v>7</v>
      </c>
    </row>
    <row r="130" spans="1:10" ht="15.75" thickBot="1">
      <c r="A130" s="23">
        <v>2</v>
      </c>
      <c r="B130" s="24">
        <v>45</v>
      </c>
      <c r="C130" s="25">
        <v>9</v>
      </c>
      <c r="D130" s="24">
        <v>29</v>
      </c>
      <c r="E130" s="25">
        <v>16</v>
      </c>
      <c r="F130" s="24">
        <v>20</v>
      </c>
      <c r="G130" s="25">
        <v>23</v>
      </c>
      <c r="H130" s="24">
        <v>13</v>
      </c>
      <c r="I130" s="25">
        <v>30</v>
      </c>
      <c r="J130" s="24">
        <v>6</v>
      </c>
    </row>
    <row r="131" spans="1:10" ht="15.75" thickBot="1">
      <c r="A131" s="23">
        <v>3</v>
      </c>
      <c r="B131" s="24">
        <v>42</v>
      </c>
      <c r="C131" s="25">
        <v>10</v>
      </c>
      <c r="D131" s="24">
        <v>27</v>
      </c>
      <c r="E131" s="25">
        <v>17</v>
      </c>
      <c r="F131" s="24">
        <v>19</v>
      </c>
      <c r="G131" s="25">
        <v>24</v>
      </c>
      <c r="H131" s="24">
        <v>12</v>
      </c>
      <c r="I131" s="25">
        <v>31</v>
      </c>
      <c r="J131" s="24">
        <v>5</v>
      </c>
    </row>
    <row r="132" spans="1:10" ht="15.75" thickBot="1">
      <c r="A132" s="23">
        <v>4</v>
      </c>
      <c r="B132" s="24">
        <v>39</v>
      </c>
      <c r="C132" s="25">
        <v>11</v>
      </c>
      <c r="D132" s="24">
        <v>25</v>
      </c>
      <c r="E132" s="25">
        <v>18</v>
      </c>
      <c r="F132" s="24">
        <v>18</v>
      </c>
      <c r="G132" s="25">
        <v>25</v>
      </c>
      <c r="H132" s="24">
        <v>11</v>
      </c>
      <c r="I132" s="25">
        <v>32</v>
      </c>
      <c r="J132" s="24">
        <v>4</v>
      </c>
    </row>
    <row r="133" spans="1:10" ht="15.75" thickBot="1">
      <c r="A133" s="23">
        <v>5</v>
      </c>
      <c r="B133" s="24">
        <v>37</v>
      </c>
      <c r="C133" s="25">
        <v>12</v>
      </c>
      <c r="D133" s="24">
        <v>24</v>
      </c>
      <c r="E133" s="25">
        <v>19</v>
      </c>
      <c r="F133" s="24">
        <v>17</v>
      </c>
      <c r="G133" s="25">
        <v>26</v>
      </c>
      <c r="H133" s="24">
        <v>10</v>
      </c>
      <c r="I133" s="25">
        <v>33</v>
      </c>
      <c r="J133" s="24">
        <v>3</v>
      </c>
    </row>
    <row r="134" spans="1:10" ht="15">
      <c r="A134" s="126">
        <v>6</v>
      </c>
      <c r="B134" s="127">
        <v>35</v>
      </c>
      <c r="C134" s="128">
        <v>13</v>
      </c>
      <c r="D134" s="127">
        <v>23</v>
      </c>
      <c r="E134" s="128">
        <v>20</v>
      </c>
      <c r="F134" s="127">
        <v>16</v>
      </c>
      <c r="G134" s="128">
        <v>27</v>
      </c>
      <c r="H134" s="127">
        <v>9</v>
      </c>
      <c r="I134" s="128">
        <v>34</v>
      </c>
      <c r="J134" s="127">
        <v>2</v>
      </c>
    </row>
    <row r="135" spans="1:10" s="125" customFormat="1" ht="15.75" thickBot="1">
      <c r="A135" s="26">
        <v>7</v>
      </c>
      <c r="B135" s="27">
        <v>33</v>
      </c>
      <c r="C135" s="28">
        <v>14</v>
      </c>
      <c r="D135" s="27">
        <v>22</v>
      </c>
      <c r="E135" s="28">
        <v>21</v>
      </c>
      <c r="F135" s="27">
        <v>15</v>
      </c>
      <c r="G135" s="28">
        <v>28</v>
      </c>
      <c r="H135" s="27">
        <v>8</v>
      </c>
      <c r="I135" s="28">
        <v>35</v>
      </c>
      <c r="J135" s="27">
        <v>1</v>
      </c>
    </row>
    <row r="136" spans="1:10" ht="15.75" thickTop="1">
      <c r="A136" s="482"/>
      <c r="B136" s="482"/>
      <c r="C136" s="482"/>
      <c r="D136" s="482"/>
      <c r="E136" s="482"/>
      <c r="F136" s="482"/>
      <c r="G136" s="482"/>
      <c r="H136" s="482"/>
      <c r="I136" s="482"/>
      <c r="J136" s="482"/>
    </row>
    <row r="137" spans="1:10" ht="15">
      <c r="A137" s="476"/>
      <c r="B137" s="476"/>
      <c r="C137" s="476"/>
      <c r="D137" s="476"/>
      <c r="E137" s="476"/>
      <c r="F137" s="476"/>
      <c r="G137" s="476"/>
      <c r="H137" s="476"/>
      <c r="I137" s="476"/>
      <c r="J137" s="476"/>
    </row>
    <row r="138" spans="1:10" ht="75" customHeight="1">
      <c r="A138" s="476" t="s">
        <v>37</v>
      </c>
      <c r="B138" s="476"/>
      <c r="C138" s="476"/>
      <c r="D138" s="476"/>
      <c r="E138" s="476"/>
      <c r="F138" s="476"/>
      <c r="G138" s="476"/>
      <c r="H138" s="476"/>
      <c r="I138" s="476"/>
      <c r="J138" s="476"/>
    </row>
    <row r="139" spans="1:10" ht="15">
      <c r="A139" s="476"/>
      <c r="B139" s="476"/>
      <c r="C139" s="476"/>
      <c r="D139" s="476"/>
      <c r="E139" s="476"/>
      <c r="F139" s="476"/>
      <c r="G139" s="476"/>
      <c r="H139" s="476"/>
      <c r="I139" s="476"/>
      <c r="J139" s="476"/>
    </row>
    <row r="140" spans="1:10" ht="30" customHeight="1">
      <c r="A140" s="477" t="s">
        <v>38</v>
      </c>
      <c r="B140" s="477"/>
      <c r="C140" s="477"/>
      <c r="D140" s="477"/>
      <c r="E140" s="477"/>
      <c r="F140" s="477"/>
      <c r="G140" s="477"/>
      <c r="H140" s="477"/>
      <c r="I140" s="477"/>
      <c r="J140" s="477"/>
    </row>
    <row r="141" spans="1:10" ht="15">
      <c r="A141" s="476"/>
      <c r="B141" s="476"/>
      <c r="C141" s="476"/>
      <c r="D141" s="476"/>
      <c r="E141" s="476"/>
      <c r="F141" s="476"/>
      <c r="G141" s="476"/>
      <c r="H141" s="476"/>
      <c r="I141" s="476"/>
      <c r="J141" s="476"/>
    </row>
    <row r="142" spans="1:10" ht="15">
      <c r="A142" s="478"/>
      <c r="B142" s="478"/>
      <c r="C142" s="478"/>
      <c r="D142" s="478"/>
      <c r="E142" s="478"/>
      <c r="F142" s="478"/>
      <c r="G142" s="478"/>
      <c r="H142" s="478"/>
      <c r="I142" s="478"/>
      <c r="J142" s="478"/>
    </row>
    <row r="143" spans="1:10" ht="15" customHeight="1">
      <c r="A143" s="476" t="s">
        <v>39</v>
      </c>
      <c r="B143" s="476"/>
      <c r="C143" s="476"/>
      <c r="D143" s="476"/>
      <c r="E143" s="476"/>
      <c r="F143" s="476"/>
      <c r="G143" s="476"/>
      <c r="H143" s="476"/>
      <c r="I143" s="476"/>
      <c r="J143" s="476"/>
    </row>
    <row r="144" spans="1:10" ht="15">
      <c r="A144" s="476"/>
      <c r="B144" s="476"/>
      <c r="C144" s="476"/>
      <c r="D144" s="476"/>
      <c r="E144" s="476"/>
      <c r="F144" s="476"/>
      <c r="G144" s="476"/>
      <c r="H144" s="476"/>
      <c r="I144" s="476"/>
      <c r="J144" s="476"/>
    </row>
    <row r="145" spans="1:10" ht="15" customHeight="1">
      <c r="A145" s="476" t="s">
        <v>40</v>
      </c>
      <c r="B145" s="476"/>
      <c r="C145" s="476"/>
      <c r="D145" s="476"/>
      <c r="E145" s="476"/>
      <c r="F145" s="476"/>
      <c r="G145" s="476"/>
      <c r="H145" s="476"/>
      <c r="I145" s="476"/>
      <c r="J145" s="476"/>
    </row>
    <row r="146" spans="1:10" ht="15" customHeight="1">
      <c r="A146" s="476" t="s">
        <v>41</v>
      </c>
      <c r="B146" s="476"/>
      <c r="C146" s="476"/>
      <c r="D146" s="476"/>
      <c r="E146" s="476"/>
      <c r="F146" s="476"/>
      <c r="G146" s="476"/>
      <c r="H146" s="476"/>
      <c r="I146" s="476"/>
      <c r="J146" s="476"/>
    </row>
    <row r="147" spans="1:10" ht="30" customHeight="1">
      <c r="A147" s="476" t="s">
        <v>42</v>
      </c>
      <c r="B147" s="476"/>
      <c r="C147" s="476"/>
      <c r="D147" s="476"/>
      <c r="E147" s="476"/>
      <c r="F147" s="476"/>
      <c r="G147" s="476"/>
      <c r="H147" s="476"/>
      <c r="I147" s="476"/>
      <c r="J147" s="476"/>
    </row>
    <row r="148" spans="1:10" ht="30" customHeight="1">
      <c r="A148" s="476" t="s">
        <v>43</v>
      </c>
      <c r="B148" s="476"/>
      <c r="C148" s="476"/>
      <c r="D148" s="476"/>
      <c r="E148" s="476"/>
      <c r="F148" s="476"/>
      <c r="G148" s="476"/>
      <c r="H148" s="476"/>
      <c r="I148" s="476"/>
      <c r="J148" s="476"/>
    </row>
    <row r="149" spans="1:10" ht="15" customHeight="1">
      <c r="A149" s="476" t="s">
        <v>44</v>
      </c>
      <c r="B149" s="476"/>
      <c r="C149" s="476"/>
      <c r="D149" s="476"/>
      <c r="E149" s="476"/>
      <c r="F149" s="476"/>
      <c r="G149" s="476"/>
      <c r="H149" s="476"/>
      <c r="I149" s="476"/>
      <c r="J149" s="476"/>
    </row>
    <row r="150" spans="1:10" ht="15">
      <c r="A150" s="476"/>
      <c r="B150" s="476"/>
      <c r="C150" s="476"/>
      <c r="D150" s="476"/>
      <c r="E150" s="476"/>
      <c r="F150" s="476"/>
      <c r="G150" s="476"/>
      <c r="H150" s="476"/>
      <c r="I150" s="476"/>
      <c r="J150" s="476"/>
    </row>
    <row r="151" spans="1:10" ht="60" customHeight="1">
      <c r="A151" s="476" t="s">
        <v>45</v>
      </c>
      <c r="B151" s="476"/>
      <c r="C151" s="476"/>
      <c r="D151" s="476"/>
      <c r="E151" s="476"/>
      <c r="F151" s="476"/>
      <c r="G151" s="476"/>
      <c r="H151" s="476"/>
      <c r="I151" s="476"/>
      <c r="J151" s="476"/>
    </row>
    <row r="152" spans="1:10" ht="15">
      <c r="A152" s="476"/>
      <c r="B152" s="476"/>
      <c r="C152" s="476"/>
      <c r="D152" s="476"/>
      <c r="E152" s="476"/>
      <c r="F152" s="476"/>
      <c r="G152" s="476"/>
      <c r="H152" s="476"/>
      <c r="I152" s="476"/>
      <c r="J152" s="476"/>
    </row>
    <row r="153" spans="1:10" ht="15" customHeight="1">
      <c r="A153" s="477" t="s">
        <v>46</v>
      </c>
      <c r="B153" s="477"/>
      <c r="C153" s="477"/>
      <c r="D153" s="477"/>
      <c r="E153" s="477"/>
      <c r="F153" s="477"/>
      <c r="G153" s="477"/>
      <c r="H153" s="477"/>
      <c r="I153" s="477"/>
      <c r="J153" s="477"/>
    </row>
    <row r="154" spans="1:10" ht="45" customHeight="1">
      <c r="A154" s="476" t="s">
        <v>47</v>
      </c>
      <c r="B154" s="476"/>
      <c r="C154" s="476"/>
      <c r="D154" s="476"/>
      <c r="E154" s="476"/>
      <c r="F154" s="476"/>
      <c r="G154" s="476"/>
      <c r="H154" s="476"/>
      <c r="I154" s="476"/>
      <c r="J154" s="476"/>
    </row>
    <row r="155" spans="1:10" ht="30" customHeight="1">
      <c r="A155" s="476" t="s">
        <v>48</v>
      </c>
      <c r="B155" s="476"/>
      <c r="C155" s="476"/>
      <c r="D155" s="476"/>
      <c r="E155" s="476"/>
      <c r="F155" s="476"/>
      <c r="G155" s="476"/>
      <c r="H155" s="476"/>
      <c r="I155" s="476"/>
      <c r="J155" s="476"/>
    </row>
    <row r="156" spans="1:10" ht="15" customHeight="1">
      <c r="A156" s="476" t="s">
        <v>49</v>
      </c>
      <c r="B156" s="476"/>
      <c r="C156" s="476"/>
      <c r="D156" s="476"/>
      <c r="E156" s="476"/>
      <c r="F156" s="476"/>
      <c r="G156" s="476"/>
      <c r="H156" s="476"/>
      <c r="I156" s="476"/>
      <c r="J156" s="476"/>
    </row>
    <row r="157" spans="1:10" ht="60" customHeight="1">
      <c r="A157" s="476" t="s">
        <v>72</v>
      </c>
      <c r="B157" s="476"/>
      <c r="C157" s="476"/>
      <c r="D157" s="476"/>
      <c r="E157" s="476"/>
      <c r="F157" s="476"/>
      <c r="G157" s="476"/>
      <c r="H157" s="476"/>
      <c r="I157" s="476"/>
      <c r="J157" s="476"/>
    </row>
    <row r="158" spans="1:10" ht="15">
      <c r="A158" s="478"/>
      <c r="B158" s="478"/>
      <c r="C158" s="478"/>
      <c r="D158" s="478"/>
      <c r="E158" s="478"/>
      <c r="F158" s="478"/>
      <c r="G158" s="478"/>
      <c r="H158" s="478"/>
      <c r="I158" s="478"/>
      <c r="J158" s="478"/>
    </row>
    <row r="159" spans="1:10" ht="15">
      <c r="A159" s="479"/>
      <c r="B159" s="479"/>
      <c r="C159" s="479"/>
      <c r="D159" s="479"/>
      <c r="E159" s="479"/>
      <c r="F159" s="479"/>
      <c r="G159" s="479"/>
      <c r="H159" s="479"/>
      <c r="I159" s="479"/>
      <c r="J159" s="479"/>
    </row>
    <row r="160" spans="1:10" ht="15">
      <c r="A160" s="478"/>
      <c r="B160" s="478"/>
      <c r="C160" s="478"/>
      <c r="D160" s="478"/>
      <c r="E160" s="478"/>
      <c r="F160" s="478"/>
      <c r="G160" s="478"/>
      <c r="H160" s="478"/>
      <c r="I160" s="478"/>
      <c r="J160" s="478"/>
    </row>
    <row r="161" spans="1:10" ht="30.75" customHeight="1">
      <c r="A161" s="476" t="s">
        <v>50</v>
      </c>
      <c r="B161" s="476"/>
      <c r="C161" s="476"/>
      <c r="D161" s="476"/>
      <c r="E161" s="476"/>
      <c r="F161" s="476"/>
      <c r="G161" s="476"/>
      <c r="H161" s="476"/>
      <c r="I161" s="476"/>
      <c r="J161" s="476"/>
    </row>
    <row r="162" spans="1:10" ht="15">
      <c r="A162" s="18"/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10" ht="43.5" customHeight="1">
      <c r="A163" s="480" t="s">
        <v>51</v>
      </c>
      <c r="B163" s="480"/>
      <c r="C163" s="480"/>
      <c r="D163" s="480"/>
      <c r="E163" s="480"/>
      <c r="F163" s="480"/>
      <c r="G163" s="480"/>
      <c r="H163" s="480"/>
      <c r="I163" s="480"/>
      <c r="J163" s="480"/>
    </row>
    <row r="164" spans="1:10" ht="15">
      <c r="A164" s="475"/>
      <c r="B164" s="475"/>
      <c r="C164" s="475"/>
      <c r="D164" s="475"/>
      <c r="E164" s="475"/>
      <c r="F164" s="475"/>
      <c r="G164" s="475"/>
      <c r="H164" s="475"/>
      <c r="I164" s="475"/>
      <c r="J164" s="475"/>
    </row>
  </sheetData>
  <sheetProtection/>
  <mergeCells count="41">
    <mergeCell ref="A113:J113"/>
    <mergeCell ref="A114:J114"/>
    <mergeCell ref="A115:J115"/>
    <mergeCell ref="A117:J117"/>
    <mergeCell ref="A119:J119"/>
    <mergeCell ref="A139:J139"/>
    <mergeCell ref="A120:J120"/>
    <mergeCell ref="A121:J121"/>
    <mergeCell ref="A122:J122"/>
    <mergeCell ref="A123:J123"/>
    <mergeCell ref="A124:J124"/>
    <mergeCell ref="A125:J125"/>
    <mergeCell ref="A126:J126"/>
    <mergeCell ref="A127:J127"/>
    <mergeCell ref="A136:J136"/>
    <mergeCell ref="A137:J137"/>
    <mergeCell ref="A138:J138"/>
    <mergeCell ref="A151:J151"/>
    <mergeCell ref="A140:J140"/>
    <mergeCell ref="A141:J141"/>
    <mergeCell ref="A142:J142"/>
    <mergeCell ref="A143:J143"/>
    <mergeCell ref="A144:J144"/>
    <mergeCell ref="A145:J145"/>
    <mergeCell ref="A146:J146"/>
    <mergeCell ref="A147:J147"/>
    <mergeCell ref="A148:J148"/>
    <mergeCell ref="A149:J149"/>
    <mergeCell ref="A150:J150"/>
    <mergeCell ref="A164:J164"/>
    <mergeCell ref="A152:J152"/>
    <mergeCell ref="A153:J153"/>
    <mergeCell ref="A154:J154"/>
    <mergeCell ref="A155:J155"/>
    <mergeCell ref="A156:J156"/>
    <mergeCell ref="A157:J157"/>
    <mergeCell ref="A158:J158"/>
    <mergeCell ref="A159:J159"/>
    <mergeCell ref="A160:J160"/>
    <mergeCell ref="A161:J161"/>
    <mergeCell ref="A163:J16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6">
      <selection activeCell="B7" sqref="B7"/>
    </sheetView>
  </sheetViews>
  <sheetFormatPr defaultColWidth="9.140625" defaultRowHeight="15"/>
  <cols>
    <col min="2" max="2" width="40.7109375" style="0" customWidth="1"/>
  </cols>
  <sheetData>
    <row r="1" spans="1:6" ht="23.25">
      <c r="A1" s="485" t="s">
        <v>153</v>
      </c>
      <c r="B1" s="485"/>
      <c r="C1" s="485"/>
      <c r="D1" s="485"/>
      <c r="E1" s="485"/>
      <c r="F1" s="485"/>
    </row>
    <row r="3" spans="1:6" ht="15.75">
      <c r="A3" s="148"/>
      <c r="B3" s="148"/>
      <c r="C3" s="148" t="s">
        <v>154</v>
      </c>
      <c r="D3" s="148" t="s">
        <v>155</v>
      </c>
      <c r="E3" s="148" t="s">
        <v>156</v>
      </c>
      <c r="F3" s="148" t="s">
        <v>28</v>
      </c>
    </row>
    <row r="4" spans="1:6" ht="15">
      <c r="A4" s="138">
        <v>1</v>
      </c>
      <c r="B4" s="131" t="s">
        <v>86</v>
      </c>
      <c r="C4" s="139">
        <v>3</v>
      </c>
      <c r="D4" s="139">
        <v>1</v>
      </c>
      <c r="E4" s="139">
        <v>1</v>
      </c>
      <c r="F4" s="139">
        <f aca="true" t="shared" si="0" ref="F4:F19">SUM(C4:E4)</f>
        <v>5</v>
      </c>
    </row>
    <row r="5" spans="1:6" ht="15">
      <c r="A5" s="140">
        <v>2</v>
      </c>
      <c r="B5" s="141" t="s">
        <v>19</v>
      </c>
      <c r="C5" s="142">
        <v>2</v>
      </c>
      <c r="D5" s="142"/>
      <c r="E5" s="142">
        <v>1</v>
      </c>
      <c r="F5" s="142">
        <f t="shared" si="0"/>
        <v>3</v>
      </c>
    </row>
    <row r="6" spans="1:6" ht="15">
      <c r="A6" s="143">
        <v>3</v>
      </c>
      <c r="B6" s="144" t="s">
        <v>8</v>
      </c>
      <c r="C6" s="145">
        <v>1</v>
      </c>
      <c r="D6" s="145">
        <v>1</v>
      </c>
      <c r="E6" s="145">
        <v>1</v>
      </c>
      <c r="F6" s="145">
        <f t="shared" si="0"/>
        <v>3</v>
      </c>
    </row>
    <row r="7" spans="1:6" ht="15">
      <c r="A7" s="146">
        <v>4</v>
      </c>
      <c r="B7" s="134" t="s">
        <v>9</v>
      </c>
      <c r="C7" s="147">
        <v>1</v>
      </c>
      <c r="D7" s="147">
        <v>1</v>
      </c>
      <c r="E7" s="147"/>
      <c r="F7" s="147">
        <f t="shared" si="0"/>
        <v>2</v>
      </c>
    </row>
    <row r="8" spans="1:6" ht="15">
      <c r="A8" s="146">
        <v>5</v>
      </c>
      <c r="B8" s="134" t="s">
        <v>21</v>
      </c>
      <c r="C8" s="147">
        <v>1</v>
      </c>
      <c r="D8" s="147"/>
      <c r="E8" s="147"/>
      <c r="F8" s="147">
        <f t="shared" si="0"/>
        <v>1</v>
      </c>
    </row>
    <row r="9" spans="1:6" ht="26.25">
      <c r="A9" s="146">
        <v>6</v>
      </c>
      <c r="B9" s="135" t="s">
        <v>83</v>
      </c>
      <c r="C9" s="147">
        <v>1</v>
      </c>
      <c r="D9" s="147"/>
      <c r="E9" s="147"/>
      <c r="F9" s="147">
        <f t="shared" si="0"/>
        <v>1</v>
      </c>
    </row>
    <row r="10" spans="1:6" ht="15">
      <c r="A10" s="146">
        <v>7</v>
      </c>
      <c r="B10" s="134" t="s">
        <v>63</v>
      </c>
      <c r="C10" s="147"/>
      <c r="D10" s="147">
        <v>1</v>
      </c>
      <c r="E10" s="147">
        <v>1</v>
      </c>
      <c r="F10" s="147">
        <f t="shared" si="0"/>
        <v>2</v>
      </c>
    </row>
    <row r="11" spans="1:6" ht="15">
      <c r="A11" s="146">
        <v>8</v>
      </c>
      <c r="B11" s="134" t="s">
        <v>16</v>
      </c>
      <c r="C11" s="147"/>
      <c r="D11" s="147">
        <v>1</v>
      </c>
      <c r="E11" s="147">
        <v>1</v>
      </c>
      <c r="F11" s="147">
        <f t="shared" si="0"/>
        <v>2</v>
      </c>
    </row>
    <row r="12" spans="1:6" ht="15">
      <c r="A12" s="137">
        <v>9</v>
      </c>
      <c r="B12" s="133" t="s">
        <v>10</v>
      </c>
      <c r="C12" s="132"/>
      <c r="D12" s="132">
        <v>1</v>
      </c>
      <c r="E12" s="132"/>
      <c r="F12" s="132">
        <f t="shared" si="0"/>
        <v>1</v>
      </c>
    </row>
    <row r="13" spans="1:6" ht="15">
      <c r="A13" s="137">
        <v>10</v>
      </c>
      <c r="B13" s="136" t="s">
        <v>7</v>
      </c>
      <c r="C13" s="132"/>
      <c r="D13" s="132">
        <v>1</v>
      </c>
      <c r="E13" s="132"/>
      <c r="F13" s="132">
        <f t="shared" si="0"/>
        <v>1</v>
      </c>
    </row>
    <row r="14" spans="1:6" ht="15">
      <c r="A14" s="137">
        <v>11</v>
      </c>
      <c r="B14" s="134" t="s">
        <v>152</v>
      </c>
      <c r="C14" s="132"/>
      <c r="D14" s="132">
        <v>1</v>
      </c>
      <c r="E14" s="132"/>
      <c r="F14" s="132">
        <f t="shared" si="0"/>
        <v>1</v>
      </c>
    </row>
    <row r="15" spans="1:6" ht="15">
      <c r="A15" s="137">
        <v>12</v>
      </c>
      <c r="B15" s="133" t="s">
        <v>15</v>
      </c>
      <c r="C15" s="132"/>
      <c r="D15" s="132">
        <v>1</v>
      </c>
      <c r="E15" s="132"/>
      <c r="F15" s="132">
        <f t="shared" si="0"/>
        <v>1</v>
      </c>
    </row>
    <row r="16" spans="1:6" ht="15">
      <c r="A16" s="137">
        <v>13</v>
      </c>
      <c r="B16" s="134" t="s">
        <v>151</v>
      </c>
      <c r="C16" s="132"/>
      <c r="D16" s="132"/>
      <c r="E16" s="132">
        <v>1</v>
      </c>
      <c r="F16" s="132">
        <f t="shared" si="0"/>
        <v>1</v>
      </c>
    </row>
    <row r="17" spans="1:6" ht="15">
      <c r="A17" s="137">
        <v>14</v>
      </c>
      <c r="B17" s="133" t="s">
        <v>17</v>
      </c>
      <c r="C17" s="132"/>
      <c r="D17" s="132"/>
      <c r="E17" s="132">
        <v>1</v>
      </c>
      <c r="F17" s="132">
        <f t="shared" si="0"/>
        <v>1</v>
      </c>
    </row>
    <row r="18" spans="1:6" ht="15">
      <c r="A18" s="137">
        <v>15</v>
      </c>
      <c r="B18" s="135" t="s">
        <v>12</v>
      </c>
      <c r="C18" s="132"/>
      <c r="D18" s="132"/>
      <c r="E18" s="132">
        <v>1</v>
      </c>
      <c r="F18" s="132">
        <f t="shared" si="0"/>
        <v>1</v>
      </c>
    </row>
    <row r="19" spans="1:6" ht="15">
      <c r="A19" s="137">
        <v>16</v>
      </c>
      <c r="B19" s="134" t="s">
        <v>68</v>
      </c>
      <c r="C19" s="132"/>
      <c r="D19" s="132"/>
      <c r="E19" s="132">
        <v>1</v>
      </c>
      <c r="F19" s="132">
        <f t="shared" si="0"/>
        <v>1</v>
      </c>
    </row>
    <row r="21" spans="1:6" ht="23.25">
      <c r="A21" s="485" t="s">
        <v>157</v>
      </c>
      <c r="B21" s="485"/>
      <c r="C21" s="485"/>
      <c r="D21" s="485"/>
      <c r="E21" s="485"/>
      <c r="F21" s="485"/>
    </row>
    <row r="22" spans="1:6" ht="15">
      <c r="A22" s="130"/>
      <c r="B22" s="130"/>
      <c r="C22" s="130"/>
      <c r="D22" s="130"/>
      <c r="E22" s="130"/>
      <c r="F22" s="130"/>
    </row>
    <row r="23" spans="1:6" ht="15.75">
      <c r="A23" s="148"/>
      <c r="B23" s="148"/>
      <c r="C23" s="148" t="s">
        <v>154</v>
      </c>
      <c r="D23" s="148" t="s">
        <v>155</v>
      </c>
      <c r="E23" s="148" t="s">
        <v>156</v>
      </c>
      <c r="F23" s="148" t="s">
        <v>28</v>
      </c>
    </row>
    <row r="24" spans="1:6" ht="15">
      <c r="A24" s="138">
        <v>1</v>
      </c>
      <c r="B24" s="131" t="s">
        <v>86</v>
      </c>
      <c r="C24" s="139">
        <v>3</v>
      </c>
      <c r="D24" s="139">
        <v>1</v>
      </c>
      <c r="E24" s="139">
        <v>1</v>
      </c>
      <c r="F24" s="139">
        <f>SUM(C24:E24)</f>
        <v>5</v>
      </c>
    </row>
    <row r="25" spans="1:6" ht="15">
      <c r="A25" s="140">
        <v>2</v>
      </c>
      <c r="B25" s="141" t="s">
        <v>8</v>
      </c>
      <c r="C25" s="142">
        <v>2</v>
      </c>
      <c r="D25" s="142">
        <v>1</v>
      </c>
      <c r="E25" s="142">
        <v>1</v>
      </c>
      <c r="F25" s="142">
        <f aca="true" t="shared" si="1" ref="F25:F39">SUM(C25:E25)</f>
        <v>4</v>
      </c>
    </row>
    <row r="26" spans="1:6" ht="15">
      <c r="A26" s="143">
        <v>3</v>
      </c>
      <c r="B26" s="144" t="s">
        <v>19</v>
      </c>
      <c r="C26" s="145">
        <v>2</v>
      </c>
      <c r="D26" s="145"/>
      <c r="E26" s="145">
        <v>1</v>
      </c>
      <c r="F26" s="145">
        <f t="shared" si="1"/>
        <v>3</v>
      </c>
    </row>
    <row r="27" spans="1:6" ht="15">
      <c r="A27" s="146">
        <v>4</v>
      </c>
      <c r="B27" s="134" t="s">
        <v>9</v>
      </c>
      <c r="C27" s="147">
        <v>1</v>
      </c>
      <c r="D27" s="147">
        <v>1</v>
      </c>
      <c r="E27" s="147"/>
      <c r="F27" s="147">
        <f t="shared" si="1"/>
        <v>2</v>
      </c>
    </row>
    <row r="28" spans="1:6" ht="26.25">
      <c r="A28" s="146">
        <v>5</v>
      </c>
      <c r="B28" s="135" t="s">
        <v>83</v>
      </c>
      <c r="C28" s="147">
        <v>1</v>
      </c>
      <c r="D28" s="147"/>
      <c r="E28" s="147">
        <v>1</v>
      </c>
      <c r="F28" s="147">
        <f t="shared" si="1"/>
        <v>2</v>
      </c>
    </row>
    <row r="29" spans="1:6" ht="15">
      <c r="A29" s="146">
        <v>6</v>
      </c>
      <c r="B29" s="134" t="s">
        <v>21</v>
      </c>
      <c r="C29" s="147">
        <v>1</v>
      </c>
      <c r="D29" s="147"/>
      <c r="E29" s="147"/>
      <c r="F29" s="147">
        <f t="shared" si="1"/>
        <v>1</v>
      </c>
    </row>
    <row r="30" spans="1:6" ht="15">
      <c r="A30" s="146">
        <v>7</v>
      </c>
      <c r="B30" s="134" t="s">
        <v>152</v>
      </c>
      <c r="C30" s="132"/>
      <c r="D30" s="132">
        <v>2</v>
      </c>
      <c r="E30" s="132"/>
      <c r="F30" s="132">
        <f t="shared" si="1"/>
        <v>2</v>
      </c>
    </row>
    <row r="31" spans="1:6" ht="15">
      <c r="A31" s="146">
        <v>8</v>
      </c>
      <c r="B31" s="134" t="s">
        <v>63</v>
      </c>
      <c r="C31" s="147"/>
      <c r="D31" s="147">
        <v>1</v>
      </c>
      <c r="E31" s="147">
        <v>1</v>
      </c>
      <c r="F31" s="147">
        <f t="shared" si="1"/>
        <v>2</v>
      </c>
    </row>
    <row r="32" spans="1:6" ht="15">
      <c r="A32" s="137">
        <v>9</v>
      </c>
      <c r="B32" s="134" t="s">
        <v>16</v>
      </c>
      <c r="C32" s="147"/>
      <c r="D32" s="147">
        <v>1</v>
      </c>
      <c r="E32" s="147">
        <v>1</v>
      </c>
      <c r="F32" s="147">
        <f t="shared" si="1"/>
        <v>2</v>
      </c>
    </row>
    <row r="33" spans="1:6" ht="15">
      <c r="A33" s="137">
        <v>10</v>
      </c>
      <c r="B33" s="133" t="s">
        <v>10</v>
      </c>
      <c r="C33" s="132"/>
      <c r="D33" s="132">
        <v>1</v>
      </c>
      <c r="E33" s="132"/>
      <c r="F33" s="132">
        <f t="shared" si="1"/>
        <v>1</v>
      </c>
    </row>
    <row r="34" spans="1:6" ht="15">
      <c r="A34" s="137">
        <v>11</v>
      </c>
      <c r="B34" s="136" t="s">
        <v>7</v>
      </c>
      <c r="C34" s="132"/>
      <c r="D34" s="132">
        <v>1</v>
      </c>
      <c r="E34" s="132"/>
      <c r="F34" s="132">
        <f t="shared" si="1"/>
        <v>1</v>
      </c>
    </row>
    <row r="35" spans="1:6" ht="15">
      <c r="A35" s="137">
        <v>12</v>
      </c>
      <c r="B35" s="133" t="s">
        <v>15</v>
      </c>
      <c r="C35" s="132"/>
      <c r="D35" s="132">
        <v>1</v>
      </c>
      <c r="E35" s="132"/>
      <c r="F35" s="132">
        <f t="shared" si="1"/>
        <v>1</v>
      </c>
    </row>
    <row r="36" spans="1:6" ht="15">
      <c r="A36" s="137">
        <v>13</v>
      </c>
      <c r="B36" s="134" t="s">
        <v>151</v>
      </c>
      <c r="C36" s="132"/>
      <c r="D36" s="132"/>
      <c r="E36" s="132">
        <v>1</v>
      </c>
      <c r="F36" s="132">
        <f t="shared" si="1"/>
        <v>1</v>
      </c>
    </row>
    <row r="37" spans="1:6" ht="15">
      <c r="A37" s="137">
        <v>14</v>
      </c>
      <c r="B37" s="133" t="s">
        <v>17</v>
      </c>
      <c r="C37" s="132"/>
      <c r="D37" s="132"/>
      <c r="E37" s="132">
        <v>1</v>
      </c>
      <c r="F37" s="132">
        <f t="shared" si="1"/>
        <v>1</v>
      </c>
    </row>
    <row r="38" spans="1:6" ht="15">
      <c r="A38" s="137">
        <v>15</v>
      </c>
      <c r="B38" s="135" t="s">
        <v>12</v>
      </c>
      <c r="C38" s="132"/>
      <c r="D38" s="132"/>
      <c r="E38" s="132">
        <v>1</v>
      </c>
      <c r="F38" s="132">
        <f t="shared" si="1"/>
        <v>1</v>
      </c>
    </row>
    <row r="39" spans="1:6" ht="15">
      <c r="A39" s="137">
        <v>16</v>
      </c>
      <c r="B39" s="134" t="s">
        <v>68</v>
      </c>
      <c r="C39" s="132"/>
      <c r="D39" s="132"/>
      <c r="E39" s="132">
        <v>1</v>
      </c>
      <c r="F39" s="132">
        <f t="shared" si="1"/>
        <v>1</v>
      </c>
    </row>
  </sheetData>
  <sheetProtection/>
  <mergeCells count="2">
    <mergeCell ref="A1:F1"/>
    <mergeCell ref="A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S3" sqref="S3:Z10"/>
    </sheetView>
  </sheetViews>
  <sheetFormatPr defaultColWidth="9.140625" defaultRowHeight="15"/>
  <cols>
    <col min="19" max="19" width="22.57421875" style="0" customWidth="1"/>
  </cols>
  <sheetData>
    <row r="1" spans="1:15" ht="15">
      <c r="A1" s="308" t="s">
        <v>26</v>
      </c>
      <c r="B1" s="309" t="s">
        <v>27</v>
      </c>
      <c r="C1" s="309" t="s">
        <v>1</v>
      </c>
      <c r="D1" s="309" t="s">
        <v>2</v>
      </c>
      <c r="E1" s="309" t="s">
        <v>3</v>
      </c>
      <c r="F1" s="309" t="s">
        <v>4</v>
      </c>
      <c r="G1" s="309" t="s">
        <v>97</v>
      </c>
      <c r="H1" s="309" t="s">
        <v>219</v>
      </c>
      <c r="I1" s="309" t="s">
        <v>32</v>
      </c>
      <c r="J1" s="309" t="s">
        <v>230</v>
      </c>
      <c r="K1" s="309" t="s">
        <v>231</v>
      </c>
      <c r="L1" s="309" t="s">
        <v>232</v>
      </c>
      <c r="M1" s="309" t="s">
        <v>233</v>
      </c>
      <c r="N1" s="309" t="s">
        <v>234</v>
      </c>
      <c r="O1" s="310" t="s">
        <v>235</v>
      </c>
    </row>
    <row r="2" spans="1:27" ht="24.75">
      <c r="A2" s="311">
        <v>1</v>
      </c>
      <c r="B2" s="304" t="s">
        <v>9</v>
      </c>
      <c r="C2" s="304">
        <v>12</v>
      </c>
      <c r="D2" s="304">
        <v>7</v>
      </c>
      <c r="E2" s="304">
        <v>3</v>
      </c>
      <c r="F2" s="304">
        <v>2</v>
      </c>
      <c r="G2" s="305">
        <v>42629</v>
      </c>
      <c r="H2" s="304">
        <v>7</v>
      </c>
      <c r="I2" s="306">
        <v>24</v>
      </c>
      <c r="J2" s="304">
        <v>859</v>
      </c>
      <c r="K2" s="304">
        <v>22</v>
      </c>
      <c r="L2" s="305">
        <v>42491</v>
      </c>
      <c r="M2" s="304" t="s">
        <v>236</v>
      </c>
      <c r="N2" s="304" t="s">
        <v>237</v>
      </c>
      <c r="O2" s="312">
        <v>42411</v>
      </c>
      <c r="R2" s="424" t="s">
        <v>27</v>
      </c>
      <c r="S2" s="425" t="s">
        <v>1</v>
      </c>
      <c r="T2" s="425" t="s">
        <v>2</v>
      </c>
      <c r="U2" s="425" t="s">
        <v>3</v>
      </c>
      <c r="V2" s="425" t="s">
        <v>4</v>
      </c>
      <c r="W2" s="425" t="s">
        <v>467</v>
      </c>
      <c r="X2" s="425" t="s">
        <v>468</v>
      </c>
      <c r="Y2" s="425" t="s">
        <v>6</v>
      </c>
      <c r="Z2" s="425"/>
      <c r="AA2" s="423"/>
    </row>
    <row r="3" spans="1:27" ht="48">
      <c r="A3" s="311">
        <v>2</v>
      </c>
      <c r="B3" s="304" t="s">
        <v>86</v>
      </c>
      <c r="C3" s="304">
        <v>12</v>
      </c>
      <c r="D3" s="304">
        <v>6</v>
      </c>
      <c r="E3" s="304">
        <v>5</v>
      </c>
      <c r="F3" s="304">
        <v>1</v>
      </c>
      <c r="G3" s="304" t="s">
        <v>238</v>
      </c>
      <c r="H3" s="304">
        <v>7</v>
      </c>
      <c r="I3" s="306">
        <v>23</v>
      </c>
      <c r="J3" s="304">
        <v>822</v>
      </c>
      <c r="K3" s="304">
        <v>0</v>
      </c>
      <c r="L3" s="305">
        <v>42401</v>
      </c>
      <c r="M3" s="304" t="s">
        <v>239</v>
      </c>
      <c r="N3" s="304" t="s">
        <v>240</v>
      </c>
      <c r="O3" s="313">
        <v>44501</v>
      </c>
      <c r="R3" s="426">
        <v>1</v>
      </c>
      <c r="S3" s="427" t="s">
        <v>469</v>
      </c>
      <c r="T3" s="428">
        <v>7</v>
      </c>
      <c r="U3" s="428">
        <v>5</v>
      </c>
      <c r="V3" s="428">
        <v>0</v>
      </c>
      <c r="W3" s="428">
        <v>2</v>
      </c>
      <c r="X3" s="428" t="s">
        <v>470</v>
      </c>
      <c r="Y3" s="428" t="s">
        <v>471</v>
      </c>
      <c r="Z3" s="428">
        <v>10</v>
      </c>
      <c r="AA3" s="429" t="s">
        <v>472</v>
      </c>
    </row>
    <row r="4" spans="1:27" ht="24">
      <c r="A4" s="311">
        <v>3</v>
      </c>
      <c r="B4" s="304" t="s">
        <v>63</v>
      </c>
      <c r="C4" s="304">
        <v>12</v>
      </c>
      <c r="D4" s="304">
        <v>6</v>
      </c>
      <c r="E4" s="304">
        <v>4</v>
      </c>
      <c r="F4" s="304">
        <v>2</v>
      </c>
      <c r="G4" s="305">
        <v>42725</v>
      </c>
      <c r="H4" s="304">
        <v>9</v>
      </c>
      <c r="I4" s="306">
        <v>22</v>
      </c>
      <c r="J4" s="304">
        <v>834</v>
      </c>
      <c r="K4" s="304">
        <v>4</v>
      </c>
      <c r="L4" s="305">
        <v>42430</v>
      </c>
      <c r="M4" s="304" t="s">
        <v>241</v>
      </c>
      <c r="N4" s="304" t="s">
        <v>242</v>
      </c>
      <c r="O4" s="313">
        <v>19299</v>
      </c>
      <c r="R4" s="426" t="s">
        <v>473</v>
      </c>
      <c r="S4" s="430" t="s">
        <v>180</v>
      </c>
      <c r="T4" s="431">
        <v>7</v>
      </c>
      <c r="U4" s="431">
        <v>4</v>
      </c>
      <c r="V4" s="431">
        <v>0</v>
      </c>
      <c r="W4" s="431">
        <v>3</v>
      </c>
      <c r="X4" s="431" t="s">
        <v>474</v>
      </c>
      <c r="Y4" s="431" t="s">
        <v>475</v>
      </c>
      <c r="Z4" s="431">
        <v>8</v>
      </c>
      <c r="AA4" s="432" t="s">
        <v>472</v>
      </c>
    </row>
    <row r="5" spans="1:27" ht="24">
      <c r="A5" s="311">
        <v>4</v>
      </c>
      <c r="B5" s="304" t="s">
        <v>200</v>
      </c>
      <c r="C5" s="304">
        <v>12</v>
      </c>
      <c r="D5" s="304">
        <v>4</v>
      </c>
      <c r="E5" s="304">
        <v>5</v>
      </c>
      <c r="F5" s="304">
        <v>3</v>
      </c>
      <c r="G5" s="304" t="s">
        <v>226</v>
      </c>
      <c r="H5" s="304">
        <v>2</v>
      </c>
      <c r="I5" s="306">
        <v>17</v>
      </c>
      <c r="J5" s="304">
        <v>853</v>
      </c>
      <c r="K5" s="304">
        <v>11</v>
      </c>
      <c r="L5" s="305">
        <v>42552</v>
      </c>
      <c r="M5" s="304" t="s">
        <v>243</v>
      </c>
      <c r="N5" s="304" t="s">
        <v>244</v>
      </c>
      <c r="O5" s="313">
        <v>30590</v>
      </c>
      <c r="R5" s="433" t="s">
        <v>476</v>
      </c>
      <c r="S5" s="427" t="s">
        <v>477</v>
      </c>
      <c r="T5" s="428">
        <v>7</v>
      </c>
      <c r="U5" s="428">
        <v>4</v>
      </c>
      <c r="V5" s="428">
        <v>0</v>
      </c>
      <c r="W5" s="428">
        <v>3</v>
      </c>
      <c r="X5" s="428" t="s">
        <v>74</v>
      </c>
      <c r="Y5" s="428" t="s">
        <v>478</v>
      </c>
      <c r="Z5" s="428">
        <v>8</v>
      </c>
      <c r="AA5" s="429" t="s">
        <v>472</v>
      </c>
    </row>
    <row r="6" spans="1:27" ht="22.5">
      <c r="A6" s="311">
        <v>5</v>
      </c>
      <c r="B6" s="304" t="s">
        <v>67</v>
      </c>
      <c r="C6" s="304">
        <v>11</v>
      </c>
      <c r="D6" s="304">
        <v>6</v>
      </c>
      <c r="E6" s="304">
        <v>3</v>
      </c>
      <c r="F6" s="304">
        <v>2</v>
      </c>
      <c r="G6" s="305">
        <v>42724</v>
      </c>
      <c r="H6" s="304">
        <v>8</v>
      </c>
      <c r="I6" s="306">
        <v>21</v>
      </c>
      <c r="J6" s="304">
        <v>730</v>
      </c>
      <c r="K6" s="304">
        <v>18</v>
      </c>
      <c r="L6" s="305">
        <v>42370</v>
      </c>
      <c r="M6" s="304" t="s">
        <v>245</v>
      </c>
      <c r="N6" s="304" t="s">
        <v>246</v>
      </c>
      <c r="O6" s="313">
        <v>35704</v>
      </c>
      <c r="R6" s="434">
        <v>4</v>
      </c>
      <c r="S6" s="430" t="s">
        <v>62</v>
      </c>
      <c r="T6" s="431">
        <v>7</v>
      </c>
      <c r="U6" s="431">
        <v>4</v>
      </c>
      <c r="V6" s="431">
        <v>0</v>
      </c>
      <c r="W6" s="431">
        <v>3</v>
      </c>
      <c r="X6" s="431" t="s">
        <v>479</v>
      </c>
      <c r="Y6" s="431" t="s">
        <v>480</v>
      </c>
      <c r="Z6" s="431">
        <v>8</v>
      </c>
      <c r="AA6" s="432" t="s">
        <v>472</v>
      </c>
    </row>
    <row r="7" spans="1:27" ht="24">
      <c r="A7" s="311">
        <v>6</v>
      </c>
      <c r="B7" s="304" t="s">
        <v>126</v>
      </c>
      <c r="C7" s="304">
        <v>11</v>
      </c>
      <c r="D7" s="304">
        <v>6</v>
      </c>
      <c r="E7" s="304">
        <v>0</v>
      </c>
      <c r="F7" s="304">
        <v>5</v>
      </c>
      <c r="G7" s="304" t="s">
        <v>227</v>
      </c>
      <c r="H7" s="304">
        <v>1</v>
      </c>
      <c r="I7" s="306">
        <v>18</v>
      </c>
      <c r="J7" s="304">
        <v>691</v>
      </c>
      <c r="K7" s="304">
        <v>10</v>
      </c>
      <c r="L7" s="304">
        <v>1</v>
      </c>
      <c r="M7" s="304" t="s">
        <v>247</v>
      </c>
      <c r="N7" s="304" t="s">
        <v>248</v>
      </c>
      <c r="O7" s="313">
        <v>16711</v>
      </c>
      <c r="R7" s="433" t="s">
        <v>481</v>
      </c>
      <c r="S7" s="427" t="s">
        <v>64</v>
      </c>
      <c r="T7" s="428">
        <v>7</v>
      </c>
      <c r="U7" s="428">
        <v>3</v>
      </c>
      <c r="V7" s="428">
        <v>0</v>
      </c>
      <c r="W7" s="428">
        <v>4</v>
      </c>
      <c r="X7" s="428" t="s">
        <v>322</v>
      </c>
      <c r="Y7" s="428" t="s">
        <v>482</v>
      </c>
      <c r="Z7" s="428">
        <v>6</v>
      </c>
      <c r="AA7" s="429" t="s">
        <v>472</v>
      </c>
    </row>
    <row r="8" spans="1:27" ht="36">
      <c r="A8" s="311">
        <v>7</v>
      </c>
      <c r="B8" s="304" t="s">
        <v>220</v>
      </c>
      <c r="C8" s="304">
        <v>11</v>
      </c>
      <c r="D8" s="304">
        <v>4</v>
      </c>
      <c r="E8" s="304">
        <v>5</v>
      </c>
      <c r="F8" s="304">
        <v>2</v>
      </c>
      <c r="G8" s="304" t="s">
        <v>249</v>
      </c>
      <c r="H8" s="304">
        <v>6</v>
      </c>
      <c r="I8" s="306">
        <v>17</v>
      </c>
      <c r="J8" s="304">
        <v>748</v>
      </c>
      <c r="K8" s="304">
        <v>17</v>
      </c>
      <c r="L8" s="305">
        <v>42370</v>
      </c>
      <c r="M8" s="304" t="s">
        <v>250</v>
      </c>
      <c r="N8" s="304" t="s">
        <v>251</v>
      </c>
      <c r="O8" s="313">
        <v>41944</v>
      </c>
      <c r="R8" s="434" t="s">
        <v>483</v>
      </c>
      <c r="S8" s="430" t="s">
        <v>174</v>
      </c>
      <c r="T8" s="431">
        <v>7</v>
      </c>
      <c r="U8" s="431">
        <v>3</v>
      </c>
      <c r="V8" s="431">
        <v>0</v>
      </c>
      <c r="W8" s="431">
        <v>4</v>
      </c>
      <c r="X8" s="431" t="s">
        <v>327</v>
      </c>
      <c r="Y8" s="431" t="s">
        <v>484</v>
      </c>
      <c r="Z8" s="431">
        <v>6</v>
      </c>
      <c r="AA8" s="432" t="s">
        <v>472</v>
      </c>
    </row>
    <row r="9" spans="1:27" ht="24">
      <c r="A9" s="311">
        <v>8</v>
      </c>
      <c r="B9" s="304" t="s">
        <v>252</v>
      </c>
      <c r="C9" s="304">
        <v>11</v>
      </c>
      <c r="D9" s="304">
        <v>5</v>
      </c>
      <c r="E9" s="304">
        <v>2</v>
      </c>
      <c r="F9" s="304">
        <v>4</v>
      </c>
      <c r="G9" s="304" t="s">
        <v>253</v>
      </c>
      <c r="H9" s="304">
        <v>1</v>
      </c>
      <c r="I9" s="306">
        <v>17</v>
      </c>
      <c r="J9" s="304">
        <v>774</v>
      </c>
      <c r="K9" s="304">
        <v>17</v>
      </c>
      <c r="L9" s="304">
        <v>1</v>
      </c>
      <c r="M9" s="304" t="s">
        <v>254</v>
      </c>
      <c r="N9" s="304" t="s">
        <v>255</v>
      </c>
      <c r="O9" s="313">
        <v>28430</v>
      </c>
      <c r="R9" s="433">
        <v>7</v>
      </c>
      <c r="S9" s="427" t="s">
        <v>485</v>
      </c>
      <c r="T9" s="428">
        <v>7</v>
      </c>
      <c r="U9" s="428">
        <v>3</v>
      </c>
      <c r="V9" s="428">
        <v>0</v>
      </c>
      <c r="W9" s="428">
        <v>4</v>
      </c>
      <c r="X9" s="428" t="s">
        <v>100</v>
      </c>
      <c r="Y9" s="428" t="s">
        <v>486</v>
      </c>
      <c r="Z9" s="428">
        <v>6</v>
      </c>
      <c r="AA9" s="429" t="s">
        <v>472</v>
      </c>
    </row>
    <row r="10" spans="1:27" ht="23.25" thickBot="1">
      <c r="A10" s="311">
        <v>9</v>
      </c>
      <c r="B10" s="304" t="s">
        <v>222</v>
      </c>
      <c r="C10" s="304">
        <v>9</v>
      </c>
      <c r="D10" s="304">
        <v>5</v>
      </c>
      <c r="E10" s="304">
        <v>1</v>
      </c>
      <c r="F10" s="304">
        <v>3</v>
      </c>
      <c r="G10" s="305">
        <v>42631</v>
      </c>
      <c r="H10" s="304">
        <v>9</v>
      </c>
      <c r="I10" s="306">
        <v>16</v>
      </c>
      <c r="J10" s="304">
        <v>668</v>
      </c>
      <c r="K10" s="304">
        <v>11</v>
      </c>
      <c r="L10" s="305">
        <v>42401</v>
      </c>
      <c r="M10" s="304" t="s">
        <v>256</v>
      </c>
      <c r="N10" s="304" t="s">
        <v>257</v>
      </c>
      <c r="O10" s="312">
        <v>42533</v>
      </c>
      <c r="R10" s="435">
        <v>8</v>
      </c>
      <c r="S10" s="436">
        <v>14793</v>
      </c>
      <c r="T10" s="437">
        <v>7</v>
      </c>
      <c r="U10" s="437">
        <v>2</v>
      </c>
      <c r="V10" s="437">
        <v>0</v>
      </c>
      <c r="W10" s="437">
        <v>5</v>
      </c>
      <c r="X10" s="437" t="s">
        <v>487</v>
      </c>
      <c r="Y10" s="437" t="s">
        <v>488</v>
      </c>
      <c r="Z10" s="437">
        <v>4</v>
      </c>
      <c r="AA10" s="438" t="s">
        <v>472</v>
      </c>
    </row>
    <row r="11" spans="1:15" ht="25.5" thickTop="1">
      <c r="A11" s="311">
        <v>10</v>
      </c>
      <c r="B11" s="304" t="s">
        <v>68</v>
      </c>
      <c r="C11" s="304">
        <v>9</v>
      </c>
      <c r="D11" s="304">
        <v>5</v>
      </c>
      <c r="E11" s="304">
        <v>1</v>
      </c>
      <c r="F11" s="304">
        <v>3</v>
      </c>
      <c r="G11" s="305">
        <v>42594</v>
      </c>
      <c r="H11" s="304">
        <v>4</v>
      </c>
      <c r="I11" s="306">
        <v>16</v>
      </c>
      <c r="J11" s="304">
        <v>583</v>
      </c>
      <c r="K11" s="304">
        <v>11</v>
      </c>
      <c r="L11" s="305">
        <v>42522</v>
      </c>
      <c r="M11" s="304" t="s">
        <v>258</v>
      </c>
      <c r="N11" s="304" t="s">
        <v>259</v>
      </c>
      <c r="O11" s="313">
        <v>43009</v>
      </c>
    </row>
    <row r="12" spans="1:15" ht="24.75">
      <c r="A12" s="311">
        <v>11</v>
      </c>
      <c r="B12" s="304" t="s">
        <v>131</v>
      </c>
      <c r="C12" s="304">
        <v>9</v>
      </c>
      <c r="D12" s="304">
        <v>5</v>
      </c>
      <c r="E12" s="304">
        <v>1</v>
      </c>
      <c r="F12" s="304">
        <v>3</v>
      </c>
      <c r="G12" s="304" t="s">
        <v>221</v>
      </c>
      <c r="H12" s="304">
        <v>6</v>
      </c>
      <c r="I12" s="306">
        <v>16</v>
      </c>
      <c r="J12" s="304">
        <v>568</v>
      </c>
      <c r="K12" s="304">
        <v>9</v>
      </c>
      <c r="L12" s="304" t="s">
        <v>260</v>
      </c>
      <c r="M12" s="304" t="s">
        <v>261</v>
      </c>
      <c r="N12" s="304" t="s">
        <v>262</v>
      </c>
      <c r="O12" s="313">
        <v>14154</v>
      </c>
    </row>
    <row r="13" spans="1:15" ht="36.75">
      <c r="A13" s="311">
        <v>12</v>
      </c>
      <c r="B13" s="304" t="s">
        <v>158</v>
      </c>
      <c r="C13" s="304">
        <v>9</v>
      </c>
      <c r="D13" s="304">
        <v>4</v>
      </c>
      <c r="E13" s="304">
        <v>2</v>
      </c>
      <c r="F13" s="304">
        <v>3</v>
      </c>
      <c r="G13" s="304" t="s">
        <v>223</v>
      </c>
      <c r="H13" s="304">
        <v>-1</v>
      </c>
      <c r="I13" s="306">
        <v>14</v>
      </c>
      <c r="J13" s="304">
        <v>535</v>
      </c>
      <c r="K13" s="304">
        <v>17</v>
      </c>
      <c r="L13" s="304" t="s">
        <v>263</v>
      </c>
      <c r="M13" s="304" t="s">
        <v>264</v>
      </c>
      <c r="N13" s="304" t="s">
        <v>265</v>
      </c>
      <c r="O13" s="313">
        <v>41913</v>
      </c>
    </row>
    <row r="14" spans="1:15" ht="36.75">
      <c r="A14" s="311">
        <v>13</v>
      </c>
      <c r="B14" s="304" t="s">
        <v>202</v>
      </c>
      <c r="C14" s="304">
        <v>9</v>
      </c>
      <c r="D14" s="304">
        <v>3</v>
      </c>
      <c r="E14" s="304">
        <v>3</v>
      </c>
      <c r="F14" s="304">
        <v>3</v>
      </c>
      <c r="G14" s="304" t="s">
        <v>224</v>
      </c>
      <c r="H14" s="304">
        <v>-3</v>
      </c>
      <c r="I14" s="306">
        <v>12</v>
      </c>
      <c r="J14" s="304">
        <v>584</v>
      </c>
      <c r="K14" s="304">
        <v>7</v>
      </c>
      <c r="L14" s="305">
        <v>42430</v>
      </c>
      <c r="M14" s="304" t="s">
        <v>266</v>
      </c>
      <c r="N14" s="304" t="s">
        <v>267</v>
      </c>
      <c r="O14" s="313">
        <v>18172</v>
      </c>
    </row>
    <row r="15" spans="1:15" ht="72.75">
      <c r="A15" s="311">
        <v>14</v>
      </c>
      <c r="B15" s="304" t="s">
        <v>268</v>
      </c>
      <c r="C15" s="304">
        <v>9</v>
      </c>
      <c r="D15" s="304">
        <v>3</v>
      </c>
      <c r="E15" s="304">
        <v>3</v>
      </c>
      <c r="F15" s="304">
        <v>3</v>
      </c>
      <c r="G15" s="305">
        <v>42653</v>
      </c>
      <c r="H15" s="304">
        <v>0</v>
      </c>
      <c r="I15" s="306">
        <v>12</v>
      </c>
      <c r="J15" s="304">
        <v>616</v>
      </c>
      <c r="K15" s="304">
        <v>3</v>
      </c>
      <c r="L15" s="305">
        <v>42461</v>
      </c>
      <c r="M15" s="304" t="s">
        <v>269</v>
      </c>
      <c r="N15" s="304" t="s">
        <v>270</v>
      </c>
      <c r="O15" s="313">
        <v>36434</v>
      </c>
    </row>
    <row r="16" spans="1:15" ht="24.75">
      <c r="A16" s="311">
        <v>15</v>
      </c>
      <c r="B16" s="304" t="s">
        <v>183</v>
      </c>
      <c r="C16" s="304">
        <v>9</v>
      </c>
      <c r="D16" s="304">
        <v>3</v>
      </c>
      <c r="E16" s="304">
        <v>3</v>
      </c>
      <c r="F16" s="304">
        <v>3</v>
      </c>
      <c r="G16" s="304" t="s">
        <v>225</v>
      </c>
      <c r="H16" s="304">
        <v>3</v>
      </c>
      <c r="I16" s="306">
        <v>12</v>
      </c>
      <c r="J16" s="304">
        <v>616</v>
      </c>
      <c r="K16" s="304">
        <v>0</v>
      </c>
      <c r="L16" s="305">
        <v>42461</v>
      </c>
      <c r="M16" s="304" t="s">
        <v>246</v>
      </c>
      <c r="N16" s="304" t="s">
        <v>271</v>
      </c>
      <c r="O16" s="313">
        <v>43405</v>
      </c>
    </row>
    <row r="17" spans="1:15" ht="24.75">
      <c r="A17" s="311">
        <v>16</v>
      </c>
      <c r="B17" s="304" t="s">
        <v>272</v>
      </c>
      <c r="C17" s="304">
        <v>9</v>
      </c>
      <c r="D17" s="304">
        <v>3</v>
      </c>
      <c r="E17" s="304">
        <v>2</v>
      </c>
      <c r="F17" s="304">
        <v>4</v>
      </c>
      <c r="G17" s="305">
        <v>42592</v>
      </c>
      <c r="H17" s="304">
        <v>2</v>
      </c>
      <c r="I17" s="306">
        <v>11</v>
      </c>
      <c r="J17" s="304">
        <v>595</v>
      </c>
      <c r="K17" s="304">
        <v>8</v>
      </c>
      <c r="L17" s="305">
        <v>42430</v>
      </c>
      <c r="M17" s="304" t="s">
        <v>273</v>
      </c>
      <c r="N17" s="304" t="s">
        <v>274</v>
      </c>
      <c r="O17" s="313">
        <v>28764</v>
      </c>
    </row>
    <row r="18" spans="1:15" ht="24.75">
      <c r="A18" s="311">
        <v>17</v>
      </c>
      <c r="B18" s="304" t="s">
        <v>132</v>
      </c>
      <c r="C18" s="304">
        <v>7</v>
      </c>
      <c r="D18" s="304">
        <v>3</v>
      </c>
      <c r="E18" s="304">
        <v>0</v>
      </c>
      <c r="F18" s="304">
        <v>4</v>
      </c>
      <c r="G18" s="305">
        <v>42656</v>
      </c>
      <c r="H18" s="304">
        <v>3</v>
      </c>
      <c r="I18" s="306">
        <v>9</v>
      </c>
      <c r="J18" s="304">
        <v>465</v>
      </c>
      <c r="K18" s="304">
        <v>6</v>
      </c>
      <c r="L18" s="305">
        <v>42401</v>
      </c>
      <c r="M18" s="304" t="s">
        <v>275</v>
      </c>
      <c r="N18" s="304" t="s">
        <v>276</v>
      </c>
      <c r="O18" s="313">
        <v>36069</v>
      </c>
    </row>
    <row r="19" spans="1:15" ht="15">
      <c r="A19" s="311">
        <v>18</v>
      </c>
      <c r="B19" s="304" t="s">
        <v>178</v>
      </c>
      <c r="C19" s="304">
        <v>7</v>
      </c>
      <c r="D19" s="304">
        <v>3</v>
      </c>
      <c r="E19" s="304">
        <v>0</v>
      </c>
      <c r="F19" s="304">
        <v>4</v>
      </c>
      <c r="G19" s="305">
        <v>42618</v>
      </c>
      <c r="H19" s="304">
        <v>-4</v>
      </c>
      <c r="I19" s="306">
        <v>9</v>
      </c>
      <c r="J19" s="304">
        <v>428</v>
      </c>
      <c r="K19" s="304">
        <v>6</v>
      </c>
      <c r="L19" s="305">
        <v>42430</v>
      </c>
      <c r="M19" s="304" t="s">
        <v>277</v>
      </c>
      <c r="N19" s="304" t="s">
        <v>278</v>
      </c>
      <c r="O19" s="313">
        <v>32752</v>
      </c>
    </row>
    <row r="20" spans="1:15" ht="15">
      <c r="A20" s="311">
        <v>19</v>
      </c>
      <c r="B20" s="304" t="s">
        <v>8</v>
      </c>
      <c r="C20" s="304">
        <v>7</v>
      </c>
      <c r="D20" s="304">
        <v>3</v>
      </c>
      <c r="E20" s="304">
        <v>0</v>
      </c>
      <c r="F20" s="304">
        <v>4</v>
      </c>
      <c r="G20" s="305">
        <v>42623</v>
      </c>
      <c r="H20" s="304">
        <v>1</v>
      </c>
      <c r="I20" s="306">
        <v>9</v>
      </c>
      <c r="J20" s="304">
        <v>449</v>
      </c>
      <c r="K20" s="304">
        <v>1</v>
      </c>
      <c r="L20" s="304">
        <v>1</v>
      </c>
      <c r="M20" s="304" t="s">
        <v>279</v>
      </c>
      <c r="N20" s="304" t="s">
        <v>280</v>
      </c>
      <c r="O20" s="313">
        <v>21094</v>
      </c>
    </row>
    <row r="21" spans="1:15" ht="15">
      <c r="A21" s="311">
        <v>20</v>
      </c>
      <c r="B21" s="304" t="s">
        <v>168</v>
      </c>
      <c r="C21" s="304">
        <v>7</v>
      </c>
      <c r="D21" s="304">
        <v>3</v>
      </c>
      <c r="E21" s="304">
        <v>0</v>
      </c>
      <c r="F21" s="304">
        <v>4</v>
      </c>
      <c r="G21" s="307">
        <v>42217</v>
      </c>
      <c r="H21" s="304">
        <v>-7</v>
      </c>
      <c r="I21" s="306">
        <v>9</v>
      </c>
      <c r="J21" s="304">
        <v>427</v>
      </c>
      <c r="K21" s="304">
        <v>1</v>
      </c>
      <c r="L21" s="304" t="s">
        <v>281</v>
      </c>
      <c r="M21" s="304" t="s">
        <v>282</v>
      </c>
      <c r="N21" s="304" t="s">
        <v>283</v>
      </c>
      <c r="O21" s="313">
        <v>42309</v>
      </c>
    </row>
    <row r="22" spans="1:15" ht="24.75">
      <c r="A22" s="311">
        <v>21</v>
      </c>
      <c r="B22" s="304" t="s">
        <v>127</v>
      </c>
      <c r="C22" s="304">
        <v>7</v>
      </c>
      <c r="D22" s="304">
        <v>3</v>
      </c>
      <c r="E22" s="304">
        <v>0</v>
      </c>
      <c r="F22" s="304">
        <v>4</v>
      </c>
      <c r="G22" s="305">
        <v>42625</v>
      </c>
      <c r="H22" s="304">
        <v>3</v>
      </c>
      <c r="I22" s="306">
        <v>9</v>
      </c>
      <c r="J22" s="304">
        <v>426</v>
      </c>
      <c r="K22" s="304">
        <v>0</v>
      </c>
      <c r="L22" s="304" t="s">
        <v>284</v>
      </c>
      <c r="M22" s="304" t="s">
        <v>285</v>
      </c>
      <c r="N22" s="304" t="s">
        <v>286</v>
      </c>
      <c r="O22" s="312">
        <v>42684</v>
      </c>
    </row>
    <row r="23" spans="1:15" ht="15">
      <c r="A23" s="311">
        <v>22</v>
      </c>
      <c r="B23" s="304" t="s">
        <v>176</v>
      </c>
      <c r="C23" s="304">
        <v>7</v>
      </c>
      <c r="D23" s="304">
        <v>3</v>
      </c>
      <c r="E23" s="304">
        <v>0</v>
      </c>
      <c r="F23" s="304">
        <v>4</v>
      </c>
      <c r="G23" s="307">
        <v>42248</v>
      </c>
      <c r="H23" s="304">
        <v>-6</v>
      </c>
      <c r="I23" s="306">
        <v>9</v>
      </c>
      <c r="J23" s="304">
        <v>426</v>
      </c>
      <c r="K23" s="304">
        <v>0</v>
      </c>
      <c r="L23" s="305">
        <v>42491</v>
      </c>
      <c r="M23" s="304" t="s">
        <v>287</v>
      </c>
      <c r="N23" s="304" t="s">
        <v>288</v>
      </c>
      <c r="O23" s="313">
        <v>26177</v>
      </c>
    </row>
    <row r="24" spans="1:15" ht="15">
      <c r="A24" s="311">
        <v>23</v>
      </c>
      <c r="B24" s="304" t="s">
        <v>22</v>
      </c>
      <c r="C24" s="304">
        <v>7</v>
      </c>
      <c r="D24" s="304">
        <v>2</v>
      </c>
      <c r="E24" s="304">
        <v>2</v>
      </c>
      <c r="F24" s="304">
        <v>3</v>
      </c>
      <c r="G24" s="305">
        <v>42617</v>
      </c>
      <c r="H24" s="304">
        <v>-5</v>
      </c>
      <c r="I24" s="306">
        <v>8</v>
      </c>
      <c r="J24" s="304">
        <v>437</v>
      </c>
      <c r="K24" s="304">
        <v>3</v>
      </c>
      <c r="L24" s="304" t="s">
        <v>263</v>
      </c>
      <c r="M24" s="304" t="s">
        <v>289</v>
      </c>
      <c r="N24" s="304" t="s">
        <v>278</v>
      </c>
      <c r="O24" s="313">
        <v>18902</v>
      </c>
    </row>
    <row r="25" spans="1:15" ht="24.75">
      <c r="A25" s="311">
        <v>24</v>
      </c>
      <c r="B25" s="304" t="s">
        <v>13</v>
      </c>
      <c r="C25" s="304">
        <v>7</v>
      </c>
      <c r="D25" s="304">
        <v>2</v>
      </c>
      <c r="E25" s="304">
        <v>1</v>
      </c>
      <c r="F25" s="304">
        <v>4</v>
      </c>
      <c r="G25" s="305">
        <v>42526</v>
      </c>
      <c r="H25" s="304">
        <v>-1</v>
      </c>
      <c r="I25" s="306">
        <v>7</v>
      </c>
      <c r="J25" s="304">
        <v>424</v>
      </c>
      <c r="K25" s="304">
        <v>7</v>
      </c>
      <c r="L25" s="304" t="s">
        <v>260</v>
      </c>
      <c r="M25" s="304" t="s">
        <v>290</v>
      </c>
      <c r="N25" s="304" t="s">
        <v>291</v>
      </c>
      <c r="O25" s="313">
        <v>13789</v>
      </c>
    </row>
    <row r="26" spans="1:15" ht="24.75">
      <c r="A26" s="311">
        <v>25</v>
      </c>
      <c r="B26" s="304" t="s">
        <v>174</v>
      </c>
      <c r="C26" s="304">
        <v>7</v>
      </c>
      <c r="D26" s="304">
        <v>2</v>
      </c>
      <c r="E26" s="304">
        <v>1</v>
      </c>
      <c r="F26" s="304">
        <v>4</v>
      </c>
      <c r="G26" s="305">
        <v>42649</v>
      </c>
      <c r="H26" s="304">
        <v>-4</v>
      </c>
      <c r="I26" s="306">
        <v>7</v>
      </c>
      <c r="J26" s="304">
        <v>407</v>
      </c>
      <c r="K26" s="304">
        <v>7</v>
      </c>
      <c r="L26" s="304" t="s">
        <v>292</v>
      </c>
      <c r="M26" s="304" t="s">
        <v>293</v>
      </c>
      <c r="N26" s="304" t="s">
        <v>294</v>
      </c>
      <c r="O26" s="313">
        <v>14519</v>
      </c>
    </row>
    <row r="27" spans="1:15" ht="24.75">
      <c r="A27" s="311">
        <v>26</v>
      </c>
      <c r="B27" s="304" t="s">
        <v>69</v>
      </c>
      <c r="C27" s="304">
        <v>7</v>
      </c>
      <c r="D27" s="304">
        <v>2</v>
      </c>
      <c r="E27" s="304">
        <v>1</v>
      </c>
      <c r="F27" s="304">
        <v>4</v>
      </c>
      <c r="G27" s="307">
        <v>41426</v>
      </c>
      <c r="H27" s="304">
        <v>-7</v>
      </c>
      <c r="I27" s="306">
        <v>7</v>
      </c>
      <c r="J27" s="304">
        <v>441</v>
      </c>
      <c r="K27" s="304">
        <v>4</v>
      </c>
      <c r="L27" s="304">
        <v>1</v>
      </c>
      <c r="M27" s="304" t="s">
        <v>295</v>
      </c>
      <c r="N27" s="304" t="s">
        <v>296</v>
      </c>
      <c r="O27" s="313">
        <v>19998</v>
      </c>
    </row>
    <row r="28" spans="1:15" ht="15">
      <c r="A28" s="311">
        <v>27</v>
      </c>
      <c r="B28" s="304" t="s">
        <v>198</v>
      </c>
      <c r="C28" s="304">
        <v>7</v>
      </c>
      <c r="D28" s="304">
        <v>2</v>
      </c>
      <c r="E28" s="304">
        <v>1</v>
      </c>
      <c r="F28" s="304">
        <v>4</v>
      </c>
      <c r="G28" s="307">
        <v>41974</v>
      </c>
      <c r="H28" s="304">
        <v>-2</v>
      </c>
      <c r="I28" s="306">
        <v>7</v>
      </c>
      <c r="J28" s="304">
        <v>428</v>
      </c>
      <c r="K28" s="304">
        <v>1</v>
      </c>
      <c r="L28" s="304" t="s">
        <v>284</v>
      </c>
      <c r="M28" s="304" t="s">
        <v>297</v>
      </c>
      <c r="N28" s="304" t="s">
        <v>298</v>
      </c>
      <c r="O28" s="313">
        <v>34578</v>
      </c>
    </row>
    <row r="29" spans="1:15" ht="24.75">
      <c r="A29" s="311">
        <v>28</v>
      </c>
      <c r="B29" s="304" t="s">
        <v>159</v>
      </c>
      <c r="C29" s="304">
        <v>7</v>
      </c>
      <c r="D29" s="304">
        <v>2</v>
      </c>
      <c r="E29" s="304">
        <v>1</v>
      </c>
      <c r="F29" s="304">
        <v>4</v>
      </c>
      <c r="G29" s="307">
        <v>41518</v>
      </c>
      <c r="H29" s="304">
        <v>-4</v>
      </c>
      <c r="I29" s="306">
        <v>7</v>
      </c>
      <c r="J29" s="304">
        <v>416</v>
      </c>
      <c r="K29" s="304">
        <v>1</v>
      </c>
      <c r="L29" s="305">
        <v>42370</v>
      </c>
      <c r="M29" s="304" t="s">
        <v>299</v>
      </c>
      <c r="N29" s="304" t="s">
        <v>300</v>
      </c>
      <c r="O29" s="312">
        <v>42622</v>
      </c>
    </row>
    <row r="30" spans="1:15" ht="24.75">
      <c r="A30" s="311">
        <v>29</v>
      </c>
      <c r="B30" s="304" t="s">
        <v>60</v>
      </c>
      <c r="C30" s="304">
        <v>7</v>
      </c>
      <c r="D30" s="304">
        <v>1</v>
      </c>
      <c r="E30" s="304">
        <v>3</v>
      </c>
      <c r="F30" s="304">
        <v>3</v>
      </c>
      <c r="G30" s="307">
        <v>42614</v>
      </c>
      <c r="H30" s="304">
        <v>-7</v>
      </c>
      <c r="I30" s="306">
        <v>6</v>
      </c>
      <c r="J30" s="304">
        <v>437</v>
      </c>
      <c r="K30" s="304">
        <v>7</v>
      </c>
      <c r="L30" s="304">
        <v>1</v>
      </c>
      <c r="M30" s="304" t="s">
        <v>301</v>
      </c>
      <c r="N30" s="304" t="s">
        <v>302</v>
      </c>
      <c r="O30" s="313">
        <v>22920</v>
      </c>
    </row>
    <row r="31" spans="1:15" ht="15">
      <c r="A31" s="311">
        <v>30</v>
      </c>
      <c r="B31" s="304" t="s">
        <v>88</v>
      </c>
      <c r="C31" s="304">
        <v>7</v>
      </c>
      <c r="D31" s="304">
        <v>2</v>
      </c>
      <c r="E31" s="304">
        <v>0</v>
      </c>
      <c r="F31" s="304">
        <v>5</v>
      </c>
      <c r="G31" s="307">
        <v>41821</v>
      </c>
      <c r="H31" s="304">
        <v>-7</v>
      </c>
      <c r="I31" s="306">
        <v>6</v>
      </c>
      <c r="J31" s="304">
        <v>432</v>
      </c>
      <c r="K31" s="304">
        <v>7</v>
      </c>
      <c r="L31" s="305">
        <v>42491</v>
      </c>
      <c r="M31" s="304" t="s">
        <v>303</v>
      </c>
      <c r="N31" s="304" t="s">
        <v>304</v>
      </c>
      <c r="O31" s="313">
        <v>26177</v>
      </c>
    </row>
    <row r="32" spans="1:15" ht="24.75">
      <c r="A32" s="311">
        <v>31</v>
      </c>
      <c r="B32" s="304" t="s">
        <v>62</v>
      </c>
      <c r="C32" s="304">
        <v>7</v>
      </c>
      <c r="D32" s="304">
        <v>2</v>
      </c>
      <c r="E32" s="304">
        <v>0</v>
      </c>
      <c r="F32" s="304">
        <v>5</v>
      </c>
      <c r="G32" s="307">
        <v>41821</v>
      </c>
      <c r="H32" s="304">
        <v>-7</v>
      </c>
      <c r="I32" s="306">
        <v>6</v>
      </c>
      <c r="J32" s="304">
        <v>417</v>
      </c>
      <c r="K32" s="304">
        <v>4</v>
      </c>
      <c r="L32" s="305">
        <v>42401</v>
      </c>
      <c r="M32" s="304" t="s">
        <v>305</v>
      </c>
      <c r="N32" s="304" t="s">
        <v>306</v>
      </c>
      <c r="O32" s="313">
        <v>35309</v>
      </c>
    </row>
    <row r="33" spans="1:15" ht="15.75" thickBot="1">
      <c r="A33" s="314">
        <v>32</v>
      </c>
      <c r="B33" s="315" t="s">
        <v>307</v>
      </c>
      <c r="C33" s="315">
        <v>7</v>
      </c>
      <c r="D33" s="315">
        <v>1</v>
      </c>
      <c r="E33" s="315">
        <v>1</v>
      </c>
      <c r="F33" s="315">
        <v>5</v>
      </c>
      <c r="G33" s="316">
        <v>43405</v>
      </c>
      <c r="H33" s="315">
        <v>-7</v>
      </c>
      <c r="I33" s="317">
        <v>4</v>
      </c>
      <c r="J33" s="315">
        <v>431</v>
      </c>
      <c r="K33" s="315">
        <v>7</v>
      </c>
      <c r="L33" s="315" t="s">
        <v>284</v>
      </c>
      <c r="M33" s="315" t="s">
        <v>254</v>
      </c>
      <c r="N33" s="315" t="s">
        <v>308</v>
      </c>
      <c r="O33" s="318">
        <v>47392</v>
      </c>
    </row>
  </sheetData>
  <sheetProtection/>
  <hyperlinks>
    <hyperlink ref="S3" r:id="rId1" display="http://sportgiant.net/competitions/spartakiada-2016/teams/professionaly-prognoza"/>
    <hyperlink ref="S4" r:id="rId2" display="http://sportgiant.net/competitions/spartakiada-2016/teams/mlfpa-ru"/>
    <hyperlink ref="S5" r:id="rId3" display="http://sportgiant.net/competitions/spartakiada-2016/teams/russian-roulette"/>
    <hyperlink ref="S6" r:id="rId4" display="http://sportgiant.net/competitions/spartakiada-2016/teams/kanonir-com"/>
    <hyperlink ref="S7" r:id="rId5" display="http://sportgiant.net/competitions/spartakiada-2016/teams/vfl-kbk"/>
    <hyperlink ref="S8" r:id="rId6" display="http://sportgiant.net/competitions/spartakiada-2016/teams/fpk-prognoz-ru"/>
    <hyperlink ref="S9" r:id="rId7" display="http://sportgiant.net/competitions/spartakiada-2016/teams/red-army-ru"/>
    <hyperlink ref="S10" r:id="rId8" display="http://sportgiant.net/competitions/spartakiada-2016/teams/7-40"/>
  </hyperlinks>
  <printOptions/>
  <pageMargins left="0.7" right="0.7" top="0.75" bottom="0.75" header="0.3" footer="0.3"/>
  <pageSetup horizontalDpi="300" verticalDpi="300" orientation="portrait" paperSize="9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mitrofal</dc:creator>
  <cp:keywords/>
  <dc:description/>
  <cp:lastModifiedBy>Покалов Валентин Андреевич</cp:lastModifiedBy>
  <dcterms:created xsi:type="dcterms:W3CDTF">2013-09-23T10:01:08Z</dcterms:created>
  <dcterms:modified xsi:type="dcterms:W3CDTF">2018-05-22T08:39:35Z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